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eika\Downloads\"/>
    </mc:Choice>
  </mc:AlternateContent>
  <bookViews>
    <workbookView xWindow="0" yWindow="0" windowWidth="23244" windowHeight="11604"/>
  </bookViews>
  <sheets>
    <sheet name="Sheet1" sheetId="1" r:id="rId1"/>
  </sheets>
  <definedNames>
    <definedName name="_xlnm._FilterDatabase" localSheetId="0" hidden="1">Sheet1!$A$1:$J$2623</definedName>
    <definedName name="Z_1FF68E80_5763_4C4D_9008_49D53AE131A8_.wvu.FilterData" localSheetId="0" hidden="1">Sheet1!$A$1:$J$2593</definedName>
    <definedName name="Z_2CAA9B67_51AF_4E52_B477_7D99732A74DF_.wvu.FilterData" localSheetId="0" hidden="1">Sheet1!$A$1:$I$2603</definedName>
    <definedName name="Z_C542A3B1_7CEB_42BD_9B8A_0883C1A570DB_.wvu.FilterData" localSheetId="0" hidden="1">Sheet1!$A$1:$J$2593</definedName>
  </definedNames>
  <calcPr calcId="162913"/>
  <customWorkbookViews>
    <customWorkbookView name="Filter 1" guid="{1FF68E80-5763-4C4D-9008-49D53AE131A8}" maximized="1" windowWidth="0" windowHeight="0" activeSheetId="0"/>
    <customWorkbookView name="Filter 3" guid="{2CAA9B67-51AF-4E52-B477-7D99732A74DF}" maximized="1" windowWidth="0" windowHeight="0" activeSheetId="0"/>
    <customWorkbookView name="Filter 2" guid="{C542A3B1-7CEB-42BD-9B8A-0883C1A570DB}" maximized="1" windowWidth="0" windowHeight="0" activeSheetId="0"/>
  </customWorkbookViews>
</workbook>
</file>

<file path=xl/calcChain.xml><?xml version="1.0" encoding="utf-8"?>
<calcChain xmlns="http://schemas.openxmlformats.org/spreadsheetml/2006/main">
  <c r="D2623" i="1" l="1"/>
  <c r="D2619" i="1"/>
  <c r="F2618" i="1"/>
  <c r="E2618" i="1"/>
  <c r="E2617" i="1"/>
  <c r="E2616" i="1"/>
  <c r="E2614" i="1"/>
  <c r="E2613" i="1"/>
  <c r="E2612" i="1"/>
  <c r="G2609" i="1"/>
  <c r="C2609" i="1"/>
  <c r="G2608" i="1"/>
  <c r="C2608" i="1"/>
  <c r="G2607" i="1"/>
  <c r="C2607" i="1"/>
  <c r="G2606" i="1"/>
  <c r="G2605" i="1"/>
  <c r="C2605" i="1"/>
  <c r="G2604" i="1"/>
  <c r="C2604" i="1"/>
  <c r="G2603" i="1"/>
  <c r="C2603" i="1"/>
  <c r="G2602" i="1"/>
  <c r="C2602" i="1"/>
  <c r="G2601" i="1"/>
  <c r="C2601" i="1"/>
  <c r="G2600" i="1"/>
  <c r="C2600" i="1"/>
  <c r="C2597" i="1"/>
  <c r="F2595" i="1"/>
  <c r="G2590" i="1"/>
  <c r="G2582" i="1"/>
  <c r="C2582" i="1"/>
  <c r="G2581" i="1"/>
  <c r="C2581" i="1"/>
  <c r="D2579" i="1"/>
  <c r="C2579" i="1"/>
  <c r="D2576" i="1"/>
  <c r="C2568" i="1"/>
  <c r="G2553" i="1"/>
  <c r="F2538" i="1"/>
  <c r="C2538" i="1"/>
  <c r="F2537" i="1"/>
  <c r="C2537" i="1"/>
  <c r="F2534" i="1"/>
  <c r="C2534" i="1"/>
  <c r="G2533" i="1"/>
  <c r="C2533" i="1"/>
  <c r="F2532" i="1"/>
  <c r="C2532" i="1"/>
  <c r="F2531" i="1"/>
  <c r="C2531" i="1"/>
  <c r="D2517" i="1"/>
  <c r="F2515" i="1"/>
  <c r="F2514" i="1"/>
  <c r="C2513" i="1"/>
  <c r="C2512" i="1"/>
  <c r="C2511" i="1"/>
  <c r="C2510" i="1"/>
  <c r="F2509" i="1"/>
  <c r="F2508" i="1"/>
  <c r="F2507" i="1"/>
  <c r="F2506" i="1"/>
  <c r="C2506" i="1"/>
  <c r="F2505" i="1"/>
  <c r="F2503" i="1"/>
  <c r="F2502" i="1"/>
  <c r="F2500" i="1"/>
  <c r="F2499" i="1"/>
  <c r="C2499" i="1"/>
  <c r="F2498" i="1"/>
  <c r="C2498" i="1"/>
  <c r="C2497" i="1"/>
  <c r="F2496" i="1"/>
  <c r="F2495" i="1"/>
  <c r="F2494" i="1"/>
  <c r="F2493" i="1"/>
  <c r="C2493" i="1"/>
  <c r="F2492" i="1"/>
  <c r="C2492" i="1"/>
  <c r="F2491" i="1"/>
  <c r="C2491" i="1"/>
  <c r="F2490" i="1"/>
  <c r="C2490" i="1"/>
  <c r="F2489" i="1"/>
  <c r="C2489" i="1"/>
  <c r="F2488" i="1"/>
  <c r="C2488" i="1"/>
  <c r="F2487" i="1"/>
  <c r="C2487" i="1"/>
  <c r="F2486" i="1"/>
  <c r="F2485" i="1"/>
  <c r="F2484" i="1"/>
  <c r="F2483" i="1"/>
  <c r="F2482" i="1"/>
  <c r="F2481" i="1"/>
  <c r="F2479" i="1"/>
  <c r="F2478" i="1"/>
  <c r="F2477" i="1"/>
  <c r="F2476" i="1"/>
  <c r="F2475" i="1"/>
  <c r="E2471" i="1"/>
  <c r="E2470" i="1"/>
  <c r="F2469" i="1"/>
  <c r="F2467" i="1"/>
  <c r="F2461" i="1"/>
  <c r="F2460" i="1"/>
  <c r="E2457" i="1"/>
  <c r="D2448" i="1"/>
  <c r="D2443" i="1"/>
  <c r="E2436" i="1"/>
  <c r="E2433" i="1"/>
  <c r="E2432" i="1"/>
  <c r="E2431" i="1"/>
  <c r="E2430" i="1"/>
  <c r="E2429" i="1"/>
  <c r="E2428" i="1"/>
  <c r="E2427" i="1"/>
  <c r="E2426" i="1"/>
  <c r="D2425" i="1"/>
  <c r="E2424" i="1"/>
  <c r="F2422" i="1"/>
  <c r="C2422" i="1"/>
  <c r="F2421" i="1"/>
  <c r="C2421" i="1"/>
  <c r="F2420" i="1"/>
  <c r="C2420" i="1"/>
  <c r="F2419" i="1"/>
  <c r="G2404" i="1"/>
  <c r="F2401" i="1"/>
  <c r="F2400" i="1"/>
  <c r="C2400" i="1"/>
  <c r="F2399" i="1"/>
  <c r="C2399" i="1"/>
  <c r="F2397" i="1"/>
  <c r="C2397" i="1"/>
  <c r="F2396" i="1"/>
  <c r="C2396" i="1"/>
  <c r="F2392" i="1"/>
  <c r="C2392" i="1"/>
  <c r="F2391" i="1"/>
  <c r="C2391" i="1"/>
  <c r="F2388" i="1"/>
  <c r="C2388" i="1"/>
  <c r="F2386" i="1"/>
  <c r="C2386" i="1"/>
  <c r="F2385" i="1"/>
  <c r="C2385" i="1"/>
  <c r="F2384" i="1"/>
  <c r="F2383" i="1"/>
  <c r="F2382" i="1"/>
  <c r="F2381" i="1"/>
  <c r="C2381" i="1"/>
  <c r="F2379" i="1"/>
  <c r="F2373" i="1"/>
  <c r="F2372" i="1"/>
  <c r="G2371" i="1"/>
  <c r="C2371" i="1"/>
  <c r="F2370" i="1"/>
  <c r="F2369" i="1"/>
  <c r="F2368" i="1"/>
  <c r="F2367" i="1"/>
  <c r="F2356" i="1"/>
  <c r="F2355" i="1"/>
  <c r="F2354" i="1"/>
  <c r="C2354" i="1"/>
  <c r="F2353" i="1"/>
  <c r="F2352" i="1"/>
  <c r="F2347" i="1"/>
  <c r="F2346" i="1"/>
  <c r="F2345" i="1"/>
  <c r="F2344" i="1"/>
  <c r="F2343" i="1"/>
  <c r="C2343" i="1"/>
  <c r="F2342" i="1"/>
  <c r="C2342" i="1"/>
  <c r="F2339" i="1"/>
  <c r="C2339" i="1"/>
  <c r="F2338" i="1"/>
  <c r="F2337" i="1"/>
  <c r="F2336" i="1"/>
  <c r="C2335" i="1"/>
  <c r="E2330" i="1"/>
  <c r="C2330" i="1"/>
  <c r="F2323" i="1"/>
  <c r="F2322" i="1"/>
  <c r="F2321" i="1"/>
  <c r="F2320" i="1"/>
  <c r="F2319" i="1"/>
  <c r="F2318" i="1"/>
  <c r="F2317" i="1"/>
  <c r="F2315" i="1"/>
  <c r="F2314" i="1"/>
  <c r="F2313" i="1"/>
  <c r="C2313" i="1"/>
  <c r="F2312" i="1"/>
  <c r="E2311" i="1"/>
  <c r="E2310" i="1"/>
  <c r="E2309" i="1"/>
  <c r="E2308" i="1"/>
  <c r="E2307" i="1"/>
  <c r="E2306" i="1"/>
  <c r="E2305" i="1"/>
  <c r="E2304" i="1"/>
  <c r="E2303" i="1"/>
  <c r="E2302" i="1"/>
  <c r="E2301" i="1"/>
  <c r="E2300" i="1"/>
  <c r="E2299" i="1"/>
  <c r="E2298" i="1"/>
  <c r="E2297" i="1"/>
  <c r="E2296" i="1"/>
  <c r="E2295" i="1"/>
  <c r="E2294" i="1"/>
  <c r="F2293" i="1"/>
  <c r="E2292" i="1"/>
  <c r="E2291" i="1"/>
  <c r="E2290" i="1"/>
  <c r="E2289" i="1"/>
  <c r="F2288" i="1"/>
  <c r="F2286" i="1"/>
  <c r="F2284" i="1"/>
  <c r="F2281" i="1"/>
  <c r="F2280" i="1"/>
  <c r="F2279" i="1"/>
  <c r="E2278" i="1"/>
  <c r="F2275" i="1"/>
  <c r="E2274" i="1"/>
  <c r="F2273" i="1"/>
  <c r="F2272" i="1"/>
  <c r="F2271" i="1"/>
  <c r="F2269" i="1"/>
  <c r="F2268" i="1"/>
  <c r="F2267" i="1"/>
  <c r="F2266" i="1"/>
  <c r="F2265" i="1"/>
  <c r="E2264" i="1"/>
  <c r="F2263" i="1"/>
  <c r="F2262" i="1"/>
  <c r="F2260" i="1"/>
  <c r="F2259" i="1"/>
  <c r="F2254" i="1"/>
  <c r="F2253" i="1"/>
  <c r="F2252" i="1"/>
  <c r="F2251" i="1"/>
  <c r="F2250" i="1"/>
  <c r="F2248" i="1"/>
  <c r="F2244" i="1"/>
  <c r="C2244" i="1"/>
  <c r="F2242" i="1"/>
  <c r="F2241" i="1"/>
  <c r="F2240" i="1"/>
  <c r="F2238" i="1"/>
  <c r="F2235" i="1"/>
  <c r="F2234" i="1"/>
  <c r="F2233" i="1"/>
  <c r="F2232" i="1"/>
  <c r="F2231" i="1"/>
  <c r="F2227" i="1"/>
  <c r="F2226" i="1"/>
  <c r="C2226" i="1"/>
  <c r="F2225" i="1"/>
  <c r="F2224" i="1"/>
  <c r="F2217" i="1"/>
  <c r="C2217" i="1"/>
  <c r="F2216" i="1"/>
  <c r="C2216" i="1"/>
  <c r="F2215" i="1"/>
  <c r="C2215" i="1"/>
  <c r="F2214" i="1"/>
  <c r="C2214" i="1"/>
  <c r="F2213" i="1"/>
  <c r="C2213" i="1"/>
  <c r="F2212" i="1"/>
  <c r="C2212" i="1"/>
  <c r="F2211" i="1"/>
  <c r="C2211" i="1"/>
  <c r="F2208" i="1"/>
  <c r="F2207" i="1"/>
  <c r="C2207" i="1"/>
  <c r="F2206" i="1"/>
  <c r="C2206" i="1"/>
  <c r="F2205" i="1"/>
  <c r="F2204" i="1"/>
  <c r="E2204" i="1"/>
  <c r="C2204" i="1"/>
  <c r="F2203" i="1"/>
  <c r="E2203" i="1"/>
  <c r="C2203" i="1"/>
  <c r="F2202" i="1"/>
  <c r="C2202" i="1"/>
  <c r="F2200" i="1"/>
  <c r="F2195" i="1"/>
  <c r="F2194" i="1"/>
  <c r="F2193" i="1"/>
  <c r="F2192" i="1"/>
  <c r="F2189" i="1"/>
  <c r="F2188" i="1"/>
  <c r="F2187" i="1"/>
  <c r="C2187" i="1"/>
  <c r="F2186" i="1"/>
  <c r="C2186" i="1"/>
  <c r="C2183" i="1"/>
  <c r="F2182" i="1"/>
  <c r="F2181" i="1"/>
  <c r="F2177" i="1"/>
  <c r="F2175" i="1"/>
  <c r="C2175" i="1"/>
  <c r="F2174" i="1"/>
  <c r="C2174" i="1"/>
  <c r="F2171" i="1"/>
  <c r="C2171" i="1"/>
  <c r="F2170" i="1"/>
  <c r="C2170" i="1"/>
  <c r="F2169" i="1"/>
  <c r="C2169" i="1"/>
  <c r="F2168" i="1"/>
  <c r="C2168" i="1"/>
  <c r="F2167" i="1"/>
  <c r="C2167" i="1"/>
  <c r="F2164" i="1"/>
  <c r="C2164" i="1"/>
  <c r="F2162" i="1"/>
  <c r="C2162" i="1"/>
  <c r="F2161" i="1"/>
  <c r="F2160" i="1"/>
  <c r="C2160" i="1"/>
  <c r="F2159" i="1"/>
  <c r="F2158" i="1"/>
  <c r="F2157" i="1"/>
  <c r="F2156" i="1"/>
  <c r="F2155" i="1"/>
  <c r="F2154" i="1"/>
  <c r="C2154" i="1"/>
  <c r="F2152" i="1"/>
  <c r="F2151" i="1"/>
  <c r="F2150" i="1"/>
  <c r="D2149" i="1"/>
  <c r="D2148" i="1"/>
  <c r="F2147" i="1"/>
  <c r="F2146" i="1"/>
  <c r="F2145" i="1"/>
  <c r="F2143" i="1"/>
  <c r="F2132" i="1"/>
  <c r="C2132" i="1"/>
  <c r="F2131" i="1"/>
  <c r="C2131" i="1"/>
  <c r="E2109" i="1"/>
  <c r="F2108" i="1"/>
  <c r="D2105" i="1"/>
  <c r="F2104" i="1"/>
  <c r="C2104" i="1"/>
  <c r="F2103" i="1"/>
  <c r="C2103" i="1"/>
  <c r="F2102" i="1"/>
  <c r="F2101" i="1"/>
  <c r="F2100" i="1"/>
  <c r="F2099" i="1"/>
  <c r="E2098" i="1"/>
  <c r="E2097" i="1"/>
  <c r="F2094" i="1"/>
  <c r="F2093" i="1"/>
  <c r="F2092" i="1"/>
  <c r="F2091" i="1"/>
  <c r="F2090" i="1"/>
  <c r="F2089" i="1"/>
  <c r="E2088" i="1"/>
  <c r="F2087" i="1"/>
  <c r="C2087" i="1"/>
  <c r="F2084" i="1"/>
  <c r="F2083" i="1"/>
  <c r="F2082" i="1"/>
  <c r="F2081" i="1"/>
  <c r="F2080" i="1"/>
  <c r="F2079" i="1"/>
  <c r="F2078" i="1"/>
  <c r="F2076" i="1"/>
  <c r="C2076" i="1"/>
  <c r="F2075" i="1"/>
  <c r="C2075" i="1"/>
  <c r="F2074" i="1"/>
  <c r="C2074" i="1"/>
  <c r="F2073" i="1"/>
  <c r="C2073" i="1"/>
  <c r="F2071" i="1"/>
  <c r="C2071" i="1"/>
  <c r="F2070" i="1"/>
  <c r="C2070" i="1"/>
  <c r="F2069" i="1"/>
  <c r="C2069" i="1"/>
  <c r="F2068" i="1"/>
  <c r="C2068" i="1"/>
  <c r="F2067" i="1"/>
  <c r="C2067" i="1"/>
  <c r="F2066" i="1"/>
  <c r="C2066" i="1"/>
  <c r="F2065" i="1"/>
  <c r="C2065" i="1"/>
  <c r="F2063" i="1"/>
  <c r="F2062" i="1"/>
  <c r="F2059" i="1"/>
  <c r="C2059" i="1"/>
  <c r="F2058" i="1"/>
  <c r="C2058" i="1"/>
  <c r="F2057" i="1"/>
  <c r="C2057" i="1"/>
  <c r="F2056" i="1"/>
  <c r="C2056" i="1"/>
  <c r="F2055" i="1"/>
  <c r="C2055" i="1"/>
  <c r="F2054" i="1"/>
  <c r="C2054" i="1"/>
  <c r="F2053" i="1"/>
  <c r="C2053" i="1"/>
  <c r="F2052" i="1"/>
  <c r="C2052" i="1"/>
  <c r="F2051" i="1"/>
  <c r="C2051" i="1"/>
  <c r="F2049" i="1"/>
  <c r="C2049" i="1"/>
  <c r="F2047" i="1"/>
  <c r="C2047" i="1"/>
  <c r="F2046" i="1"/>
  <c r="C2046" i="1"/>
  <c r="F2045" i="1"/>
  <c r="C2045" i="1"/>
  <c r="F2038" i="1"/>
  <c r="C2038" i="1"/>
  <c r="F2033" i="1"/>
  <c r="C2033" i="1"/>
  <c r="F2032" i="1"/>
  <c r="C2032" i="1"/>
  <c r="F2031" i="1"/>
  <c r="C2031" i="1"/>
  <c r="F2030" i="1"/>
  <c r="C2030" i="1"/>
  <c r="F2029" i="1"/>
  <c r="C2029" i="1"/>
  <c r="F2028" i="1"/>
  <c r="C2028" i="1"/>
  <c r="F2027" i="1"/>
  <c r="C2027" i="1"/>
  <c r="F2022" i="1"/>
  <c r="C2022" i="1"/>
  <c r="F2021" i="1"/>
  <c r="C2021" i="1"/>
  <c r="F2019" i="1"/>
  <c r="C2019" i="1"/>
  <c r="F2018" i="1"/>
  <c r="C2018" i="1"/>
  <c r="F2017" i="1"/>
  <c r="C2017" i="1"/>
  <c r="F2013" i="1"/>
  <c r="C2013" i="1"/>
  <c r="F2011" i="1"/>
  <c r="C2011" i="1"/>
  <c r="F2010" i="1"/>
  <c r="F2008" i="1"/>
  <c r="F2005" i="1"/>
  <c r="F2003" i="1"/>
  <c r="D1999" i="1"/>
  <c r="F1998" i="1"/>
  <c r="C1998" i="1"/>
  <c r="F1970" i="1"/>
  <c r="F1969" i="1"/>
  <c r="F1968" i="1"/>
  <c r="F1967" i="1"/>
  <c r="F1965" i="1"/>
  <c r="F1964" i="1"/>
  <c r="F1963" i="1"/>
  <c r="F1962" i="1"/>
  <c r="F1961" i="1"/>
  <c r="F1960" i="1"/>
  <c r="F1959" i="1"/>
  <c r="F1957" i="1"/>
  <c r="F1955" i="1"/>
  <c r="F1939" i="1"/>
  <c r="F1938" i="1"/>
  <c r="F1937" i="1"/>
  <c r="F1934" i="1"/>
  <c r="F1933" i="1"/>
  <c r="F1895" i="1"/>
  <c r="F1892" i="1"/>
  <c r="F1889" i="1"/>
  <c r="F1888" i="1"/>
  <c r="F1887" i="1"/>
  <c r="F1885" i="1"/>
  <c r="F1883" i="1"/>
  <c r="F1881" i="1"/>
  <c r="C1880" i="1"/>
  <c r="C1879" i="1"/>
  <c r="C1878" i="1"/>
  <c r="C1877" i="1"/>
  <c r="C1876" i="1"/>
  <c r="C1875" i="1"/>
  <c r="C1874" i="1"/>
  <c r="F1869" i="1"/>
  <c r="C1869" i="1"/>
  <c r="F1868" i="1"/>
  <c r="C1868" i="1"/>
  <c r="F1867" i="1"/>
  <c r="C1867" i="1"/>
  <c r="F1864" i="1"/>
  <c r="C1864" i="1"/>
  <c r="F1862" i="1"/>
  <c r="C1862" i="1"/>
  <c r="F1861" i="1"/>
  <c r="C1861" i="1"/>
  <c r="F1859" i="1"/>
  <c r="C1859" i="1"/>
  <c r="F1857" i="1"/>
  <c r="F1855" i="1"/>
  <c r="F1854" i="1"/>
  <c r="F1853" i="1"/>
  <c r="F1851" i="1"/>
  <c r="F1850" i="1"/>
  <c r="F1849" i="1"/>
  <c r="F1846" i="1"/>
  <c r="E1844" i="1"/>
  <c r="E1841" i="1"/>
  <c r="E1840" i="1"/>
  <c r="E1839" i="1"/>
  <c r="E1838" i="1"/>
  <c r="F1837" i="1"/>
  <c r="C1835" i="1"/>
  <c r="C1834" i="1"/>
  <c r="F1830" i="1"/>
  <c r="F1828" i="1"/>
  <c r="F1826" i="1"/>
  <c r="D1820" i="1"/>
  <c r="C1820" i="1"/>
  <c r="E1814" i="1"/>
  <c r="E1796" i="1"/>
  <c r="E1795" i="1"/>
  <c r="F1794" i="1"/>
  <c r="F1776" i="1"/>
  <c r="F1775" i="1"/>
  <c r="D1770" i="1"/>
  <c r="D1768" i="1"/>
  <c r="F1762" i="1"/>
  <c r="F1760" i="1"/>
  <c r="C1760" i="1"/>
  <c r="C1752" i="1"/>
  <c r="C1750" i="1"/>
  <c r="C1749" i="1"/>
  <c r="C1748" i="1"/>
  <c r="F1747" i="1"/>
  <c r="F1746" i="1"/>
  <c r="F1745" i="1"/>
  <c r="F1744" i="1"/>
  <c r="F1743" i="1"/>
  <c r="C1736" i="1"/>
  <c r="G1731" i="1"/>
  <c r="F1718" i="1"/>
  <c r="C1718" i="1"/>
  <c r="F1702" i="1"/>
  <c r="E1702" i="1"/>
  <c r="F1701" i="1"/>
  <c r="E1701" i="1"/>
  <c r="C1663" i="1"/>
  <c r="C1662" i="1"/>
  <c r="C1661" i="1"/>
  <c r="C1660" i="1"/>
  <c r="F1653" i="1"/>
  <c r="F1652" i="1"/>
  <c r="F1651" i="1"/>
  <c r="F1650" i="1"/>
  <c r="F1649" i="1"/>
  <c r="F1648" i="1"/>
  <c r="F1647" i="1"/>
  <c r="F1646" i="1"/>
  <c r="F1645" i="1"/>
  <c r="F1640" i="1"/>
  <c r="F1639" i="1"/>
  <c r="F1638" i="1"/>
  <c r="F1637" i="1"/>
  <c r="C1634" i="1"/>
  <c r="C1632" i="1"/>
  <c r="F1626" i="1"/>
  <c r="E1626" i="1"/>
  <c r="C1626" i="1"/>
  <c r="F1625" i="1"/>
  <c r="E1625" i="1"/>
  <c r="C1625" i="1"/>
  <c r="F1621" i="1"/>
  <c r="E1620" i="1"/>
  <c r="E1618" i="1"/>
  <c r="F1614" i="1"/>
  <c r="F1613" i="1"/>
  <c r="F1612" i="1"/>
  <c r="F1611" i="1"/>
  <c r="F1610" i="1"/>
  <c r="F1609" i="1"/>
  <c r="F1608" i="1"/>
  <c r="C1607" i="1"/>
  <c r="F1606" i="1"/>
  <c r="F1605" i="1"/>
  <c r="F1604" i="1"/>
  <c r="F1603" i="1"/>
  <c r="C1598" i="1"/>
  <c r="C1597" i="1"/>
  <c r="F1589" i="1"/>
  <c r="F1578" i="1"/>
  <c r="F1573" i="1"/>
  <c r="D1567" i="1"/>
  <c r="D1566" i="1"/>
  <c r="D1565" i="1"/>
  <c r="D1564" i="1"/>
  <c r="F1559" i="1"/>
  <c r="C1559" i="1"/>
  <c r="F1558" i="1"/>
  <c r="C1558" i="1"/>
  <c r="F1556" i="1"/>
  <c r="F1550" i="1"/>
  <c r="F1549" i="1"/>
  <c r="F1548" i="1"/>
  <c r="F1547" i="1"/>
  <c r="F1546" i="1"/>
  <c r="F1545" i="1"/>
  <c r="F1544" i="1"/>
  <c r="F1543" i="1"/>
  <c r="F1542" i="1"/>
  <c r="F1541" i="1"/>
  <c r="F1540" i="1"/>
  <c r="F1539" i="1"/>
  <c r="F1538" i="1"/>
  <c r="F1537" i="1"/>
  <c r="F1535" i="1"/>
  <c r="F1533" i="1"/>
  <c r="F1532" i="1"/>
  <c r="F1528" i="1"/>
  <c r="F1527" i="1"/>
  <c r="F1524" i="1"/>
  <c r="F1506" i="1"/>
  <c r="F1503" i="1"/>
  <c r="F1502" i="1"/>
  <c r="F1501" i="1"/>
  <c r="F1499" i="1"/>
  <c r="F1498" i="1"/>
  <c r="F1497" i="1"/>
  <c r="F1496" i="1"/>
  <c r="F1495" i="1"/>
  <c r="F1494" i="1"/>
  <c r="F1487" i="1"/>
  <c r="F1486" i="1"/>
  <c r="F1485" i="1"/>
  <c r="F1484" i="1"/>
  <c r="F1483" i="1"/>
  <c r="C1483" i="1"/>
  <c r="F1482" i="1"/>
  <c r="F1481" i="1"/>
  <c r="F1480" i="1"/>
  <c r="C1480" i="1"/>
  <c r="F1472" i="1"/>
  <c r="C1472" i="1"/>
  <c r="F1471" i="1"/>
  <c r="C1471" i="1"/>
  <c r="F1470" i="1"/>
  <c r="C1470" i="1"/>
  <c r="F1466" i="1"/>
  <c r="F1464" i="1"/>
  <c r="C1464" i="1"/>
  <c r="E1462" i="1"/>
  <c r="F1459" i="1"/>
  <c r="F1458" i="1"/>
  <c r="E1456" i="1"/>
  <c r="E1455" i="1"/>
  <c r="D1454" i="1"/>
  <c r="D1452" i="1"/>
  <c r="D1450" i="1"/>
  <c r="E1449" i="1"/>
  <c r="E1448" i="1"/>
  <c r="E1446" i="1"/>
  <c r="E1445" i="1"/>
  <c r="E1444" i="1"/>
  <c r="E1443" i="1"/>
  <c r="E1442" i="1"/>
  <c r="F1441" i="1"/>
  <c r="E1440" i="1"/>
  <c r="F1437" i="1"/>
  <c r="F1436" i="1"/>
  <c r="F1435" i="1"/>
  <c r="E1432" i="1"/>
  <c r="E1425" i="1"/>
  <c r="E1423" i="1"/>
  <c r="E1415" i="1"/>
  <c r="E1414" i="1"/>
  <c r="E1411" i="1"/>
  <c r="E1410" i="1"/>
  <c r="D1409" i="1"/>
  <c r="F1403" i="1"/>
  <c r="F1402" i="1"/>
  <c r="D1401" i="1"/>
  <c r="D1400" i="1"/>
  <c r="D1399" i="1"/>
  <c r="D1398" i="1"/>
  <c r="D1397" i="1"/>
  <c r="D1396" i="1"/>
  <c r="D1395" i="1"/>
  <c r="F1387" i="1"/>
  <c r="E1386" i="1"/>
  <c r="G1384" i="1"/>
  <c r="C1384" i="1"/>
  <c r="F1383" i="1"/>
  <c r="G1359" i="1"/>
  <c r="C1359" i="1"/>
  <c r="D1341" i="1"/>
  <c r="D1340" i="1"/>
  <c r="D1339" i="1"/>
  <c r="D1338" i="1"/>
  <c r="F1321" i="1"/>
  <c r="F1320" i="1"/>
  <c r="C1311" i="1"/>
  <c r="F1310" i="1"/>
  <c r="F1309" i="1"/>
  <c r="E1306" i="1"/>
  <c r="F1304" i="1"/>
  <c r="F1300" i="1"/>
  <c r="G1299" i="1"/>
  <c r="C1299" i="1"/>
  <c r="G1298" i="1"/>
  <c r="C1298" i="1"/>
  <c r="G1297" i="1"/>
  <c r="C1297" i="1"/>
  <c r="D1293" i="1"/>
  <c r="D1292" i="1"/>
  <c r="D1291" i="1"/>
  <c r="D1289" i="1"/>
  <c r="C1285" i="1"/>
  <c r="D1282" i="1"/>
  <c r="C1281" i="1"/>
  <c r="C1279" i="1"/>
  <c r="C1278" i="1"/>
  <c r="G1277" i="1"/>
  <c r="D1276" i="1"/>
  <c r="D1273" i="1"/>
  <c r="C1272" i="1"/>
  <c r="C1271" i="1"/>
  <c r="C1267" i="1"/>
  <c r="C1261" i="1"/>
  <c r="C1257" i="1"/>
  <c r="F1254" i="1"/>
  <c r="E1254" i="1"/>
  <c r="D1253" i="1"/>
  <c r="D1250" i="1"/>
  <c r="A1248" i="1"/>
  <c r="D1235" i="1"/>
  <c r="F1234" i="1"/>
  <c r="C1233" i="1"/>
  <c r="D1232" i="1"/>
  <c r="A1231" i="1"/>
  <c r="D1230" i="1"/>
  <c r="A1229" i="1"/>
  <c r="D1228" i="1"/>
  <c r="A1228" i="1"/>
  <c r="A1227" i="1"/>
  <c r="A1225" i="1"/>
  <c r="D1213" i="1"/>
  <c r="F1210" i="1"/>
  <c r="A1209" i="1"/>
  <c r="D1188" i="1"/>
  <c r="F1183" i="1"/>
  <c r="C1177" i="1"/>
  <c r="F1176" i="1"/>
  <c r="F1173" i="1"/>
  <c r="A1155" i="1"/>
  <c r="F1143" i="1"/>
  <c r="F1117" i="1"/>
  <c r="A1114" i="1"/>
  <c r="A1113" i="1"/>
  <c r="A1112" i="1"/>
  <c r="A1092" i="1"/>
  <c r="E1090" i="1"/>
  <c r="F1077" i="1"/>
  <c r="F1075" i="1"/>
  <c r="E1073" i="1"/>
  <c r="D1058" i="1"/>
  <c r="E1055" i="1"/>
  <c r="E1054" i="1"/>
  <c r="A1014" i="1"/>
  <c r="A1013" i="1"/>
  <c r="A1012" i="1"/>
  <c r="A1011" i="1"/>
  <c r="D1010" i="1"/>
  <c r="G1009" i="1"/>
  <c r="C1009" i="1"/>
  <c r="A1007" i="1"/>
  <c r="A1006" i="1"/>
  <c r="D1005" i="1"/>
  <c r="A1002" i="1"/>
  <c r="A996" i="1"/>
  <c r="D995" i="1"/>
  <c r="D984" i="1"/>
  <c r="A981" i="1"/>
  <c r="C976" i="1"/>
  <c r="A970" i="1"/>
  <c r="A969" i="1"/>
  <c r="A964" i="1"/>
  <c r="A963" i="1"/>
  <c r="A962" i="1"/>
  <c r="A960" i="1"/>
  <c r="A959" i="1"/>
  <c r="A957" i="1"/>
  <c r="A955" i="1"/>
  <c r="C954" i="1"/>
  <c r="D913" i="1"/>
  <c r="C907" i="1"/>
  <c r="C903" i="1"/>
  <c r="A894" i="1"/>
  <c r="D891" i="1"/>
  <c r="C884" i="1"/>
  <c r="F862" i="1"/>
  <c r="D862" i="1"/>
  <c r="F860" i="1"/>
  <c r="F859" i="1"/>
  <c r="C859" i="1"/>
  <c r="D853" i="1"/>
  <c r="D851" i="1"/>
  <c r="D845" i="1"/>
  <c r="F834" i="1"/>
  <c r="C832" i="1"/>
  <c r="C825" i="1"/>
  <c r="C824" i="1"/>
  <c r="C823" i="1"/>
  <c r="D821" i="1"/>
  <c r="C821" i="1"/>
  <c r="C818" i="1"/>
  <c r="D813" i="1"/>
  <c r="D810" i="1"/>
  <c r="C790" i="1"/>
  <c r="D788" i="1"/>
  <c r="C788" i="1"/>
  <c r="G786" i="1"/>
  <c r="G785" i="1"/>
  <c r="D783" i="1"/>
  <c r="D777" i="1"/>
  <c r="E772" i="1"/>
  <c r="E767" i="1"/>
  <c r="E763" i="1"/>
  <c r="F759" i="1"/>
  <c r="E754" i="1"/>
  <c r="E753" i="1"/>
  <c r="E752" i="1"/>
  <c r="E749" i="1"/>
  <c r="E747" i="1"/>
  <c r="E746" i="1"/>
  <c r="E745" i="1"/>
  <c r="E743" i="1"/>
  <c r="E742" i="1"/>
  <c r="E737" i="1"/>
  <c r="E736" i="1"/>
  <c r="E735" i="1"/>
  <c r="E734" i="1"/>
  <c r="E733" i="1"/>
  <c r="E732" i="1"/>
  <c r="E731" i="1"/>
  <c r="E730" i="1"/>
  <c r="E728" i="1"/>
  <c r="E725" i="1"/>
  <c r="E724" i="1"/>
  <c r="E723" i="1"/>
  <c r="E722" i="1"/>
  <c r="E721" i="1"/>
  <c r="E718" i="1"/>
  <c r="E713" i="1"/>
  <c r="E712" i="1"/>
  <c r="E711" i="1"/>
  <c r="E710" i="1"/>
  <c r="E709" i="1"/>
  <c r="E708" i="1"/>
  <c r="E707" i="1"/>
  <c r="E706" i="1"/>
  <c r="E705" i="1"/>
  <c r="E703" i="1"/>
  <c r="E702" i="1"/>
  <c r="E701" i="1"/>
  <c r="E700" i="1"/>
  <c r="E699" i="1"/>
  <c r="E697" i="1"/>
  <c r="E696" i="1"/>
  <c r="E694" i="1"/>
  <c r="E693" i="1"/>
  <c r="E692" i="1"/>
  <c r="E691" i="1"/>
  <c r="E690" i="1"/>
  <c r="E689" i="1"/>
  <c r="E688" i="1"/>
  <c r="E687" i="1"/>
  <c r="E686" i="1"/>
  <c r="E680" i="1"/>
  <c r="E675" i="1"/>
  <c r="E674" i="1"/>
  <c r="E672" i="1"/>
  <c r="E671" i="1"/>
  <c r="E670" i="1"/>
  <c r="E669" i="1"/>
  <c r="E668" i="1"/>
  <c r="E667" i="1"/>
  <c r="E666" i="1"/>
  <c r="E665" i="1"/>
  <c r="E663" i="1"/>
  <c r="E662" i="1"/>
  <c r="E661" i="1"/>
  <c r="E660" i="1"/>
  <c r="E659" i="1"/>
  <c r="E658" i="1"/>
  <c r="E657" i="1"/>
  <c r="E654" i="1"/>
  <c r="E653" i="1"/>
  <c r="E651" i="1"/>
  <c r="E650" i="1"/>
  <c r="E649" i="1"/>
  <c r="E648" i="1"/>
  <c r="E647" i="1"/>
  <c r="E646" i="1"/>
  <c r="E645" i="1"/>
  <c r="E644" i="1"/>
  <c r="E643" i="1"/>
  <c r="E641" i="1"/>
  <c r="E640" i="1"/>
  <c r="E639" i="1"/>
  <c r="E634" i="1"/>
  <c r="E633" i="1"/>
  <c r="E632" i="1"/>
  <c r="E631" i="1"/>
  <c r="E629" i="1"/>
  <c r="E627" i="1"/>
  <c r="E626" i="1"/>
  <c r="E625" i="1"/>
  <c r="F613" i="1"/>
  <c r="E610" i="1"/>
  <c r="E600" i="1"/>
  <c r="E599" i="1"/>
  <c r="E598" i="1"/>
  <c r="E597" i="1"/>
  <c r="E596" i="1"/>
  <c r="E594" i="1"/>
  <c r="E593" i="1"/>
  <c r="E592" i="1"/>
  <c r="E591" i="1"/>
  <c r="E589" i="1"/>
  <c r="E586" i="1"/>
  <c r="E580" i="1"/>
  <c r="E575" i="1"/>
  <c r="E574" i="1"/>
  <c r="E573" i="1"/>
  <c r="E572" i="1"/>
  <c r="E571" i="1"/>
  <c r="E570" i="1"/>
  <c r="E568" i="1"/>
  <c r="E566" i="1"/>
  <c r="E565" i="1"/>
  <c r="E563" i="1"/>
  <c r="E562" i="1"/>
  <c r="E561" i="1"/>
  <c r="E560" i="1"/>
  <c r="E559" i="1"/>
  <c r="E558" i="1"/>
  <c r="E557" i="1"/>
  <c r="E556" i="1"/>
  <c r="E555" i="1"/>
  <c r="E554" i="1"/>
  <c r="E553" i="1"/>
  <c r="E552" i="1"/>
  <c r="E551" i="1"/>
  <c r="E550" i="1"/>
  <c r="E549" i="1"/>
  <c r="E548" i="1"/>
  <c r="E547" i="1"/>
  <c r="E546" i="1"/>
  <c r="E545" i="1"/>
  <c r="E542" i="1"/>
  <c r="E541" i="1"/>
  <c r="E537" i="1"/>
  <c r="E535" i="1"/>
  <c r="E531" i="1"/>
  <c r="E530" i="1"/>
  <c r="E529" i="1"/>
  <c r="E528" i="1"/>
  <c r="E526" i="1"/>
  <c r="E525" i="1"/>
  <c r="E524" i="1"/>
  <c r="E523" i="1"/>
  <c r="E522" i="1"/>
  <c r="E512" i="1"/>
  <c r="E508" i="1"/>
  <c r="E507" i="1"/>
  <c r="E505" i="1"/>
  <c r="E500" i="1"/>
  <c r="E498" i="1"/>
  <c r="E497" i="1"/>
  <c r="E496" i="1"/>
  <c r="E491" i="1"/>
  <c r="E489" i="1"/>
  <c r="E487" i="1"/>
  <c r="E485" i="1"/>
  <c r="E466" i="1"/>
  <c r="E464" i="1"/>
  <c r="E463" i="1"/>
  <c r="E460" i="1"/>
  <c r="E459" i="1"/>
  <c r="E455" i="1"/>
  <c r="F453" i="1"/>
  <c r="E449" i="1"/>
  <c r="E445" i="1"/>
  <c r="E441" i="1"/>
  <c r="E438" i="1"/>
  <c r="E433" i="1"/>
  <c r="E431" i="1"/>
  <c r="E428" i="1"/>
  <c r="F426" i="1"/>
  <c r="E425" i="1"/>
  <c r="E424" i="1"/>
  <c r="E415" i="1"/>
  <c r="E413" i="1"/>
  <c r="E411" i="1"/>
  <c r="E404" i="1"/>
  <c r="E402" i="1"/>
  <c r="E399" i="1"/>
  <c r="E398" i="1"/>
  <c r="E397" i="1"/>
  <c r="E394" i="1"/>
  <c r="E393" i="1"/>
  <c r="E389" i="1"/>
  <c r="E388" i="1"/>
  <c r="E387" i="1"/>
  <c r="E386" i="1"/>
  <c r="E382" i="1"/>
  <c r="E380" i="1"/>
  <c r="E366" i="1"/>
  <c r="E364" i="1"/>
  <c r="E361" i="1"/>
  <c r="E360" i="1"/>
  <c r="E356" i="1"/>
  <c r="E354" i="1"/>
  <c r="E353" i="1"/>
  <c r="E352" i="1"/>
  <c r="E351" i="1"/>
  <c r="E346" i="1"/>
  <c r="E345" i="1"/>
  <c r="E343" i="1"/>
  <c r="E342" i="1"/>
  <c r="E340" i="1"/>
  <c r="E339" i="1"/>
  <c r="E336" i="1"/>
  <c r="E335" i="1"/>
  <c r="E334" i="1"/>
  <c r="E326" i="1"/>
  <c r="E319" i="1"/>
  <c r="F313" i="1"/>
  <c r="E309" i="1"/>
  <c r="E308" i="1"/>
  <c r="E304" i="1"/>
  <c r="C304" i="1"/>
  <c r="E302" i="1"/>
  <c r="E301" i="1"/>
  <c r="F300" i="1"/>
  <c r="F299" i="1"/>
  <c r="C298" i="1"/>
  <c r="F297" i="1"/>
  <c r="F293" i="1"/>
  <c r="F292" i="1"/>
  <c r="F290" i="1"/>
  <c r="F289" i="1"/>
  <c r="F285" i="1"/>
  <c r="F282" i="1"/>
  <c r="E282" i="1"/>
  <c r="F281" i="1"/>
  <c r="F276" i="1"/>
  <c r="F274" i="1"/>
  <c r="E274" i="1"/>
  <c r="F272" i="1"/>
  <c r="F270" i="1"/>
  <c r="F269" i="1"/>
  <c r="E269" i="1"/>
  <c r="E267" i="1"/>
  <c r="F264" i="1"/>
  <c r="F261" i="1"/>
  <c r="F259" i="1"/>
  <c r="F258" i="1"/>
  <c r="F256" i="1"/>
  <c r="F250" i="1"/>
  <c r="F246" i="1"/>
  <c r="C242" i="1"/>
  <c r="C237" i="1"/>
  <c r="F235" i="1"/>
  <c r="F234" i="1"/>
  <c r="F233" i="1"/>
  <c r="F232" i="1"/>
  <c r="E231" i="1"/>
  <c r="F226" i="1"/>
  <c r="F225" i="1"/>
  <c r="F218" i="1"/>
  <c r="F214" i="1"/>
  <c r="F211" i="1"/>
  <c r="F209" i="1"/>
  <c r="F207" i="1"/>
  <c r="F203" i="1"/>
  <c r="E202" i="1"/>
  <c r="F183" i="1"/>
  <c r="F182" i="1"/>
  <c r="F181" i="1"/>
  <c r="F180" i="1"/>
  <c r="F179" i="1"/>
  <c r="F178" i="1"/>
  <c r="F177" i="1"/>
  <c r="F176" i="1"/>
  <c r="F175" i="1"/>
  <c r="F172" i="1"/>
  <c r="F171" i="1"/>
  <c r="F170" i="1"/>
  <c r="F169" i="1"/>
  <c r="F165" i="1"/>
  <c r="F164" i="1"/>
  <c r="F163" i="1"/>
  <c r="F142" i="1"/>
  <c r="F141" i="1"/>
  <c r="F140" i="1"/>
  <c r="F139" i="1"/>
  <c r="D132" i="1"/>
  <c r="E118" i="1"/>
  <c r="A112" i="1"/>
  <c r="E102" i="1"/>
  <c r="E101" i="1"/>
  <c r="E97" i="1"/>
  <c r="E88" i="1"/>
  <c r="E82" i="1"/>
  <c r="E69" i="1"/>
  <c r="E67" i="1"/>
  <c r="E61" i="1"/>
  <c r="E60" i="1"/>
  <c r="E57" i="1"/>
  <c r="E56" i="1"/>
  <c r="E54" i="1"/>
  <c r="E50" i="1"/>
  <c r="E22" i="1"/>
  <c r="E5" i="1"/>
  <c r="E4" i="1"/>
  <c r="E2" i="1"/>
</calcChain>
</file>

<file path=xl/comments1.xml><?xml version="1.0" encoding="utf-8"?>
<comments xmlns="http://schemas.openxmlformats.org/spreadsheetml/2006/main">
  <authors>
    <author/>
  </authors>
  <commentList>
    <comment ref="C1" authorId="0" shapeId="0">
      <text>
        <r>
          <rPr>
            <sz val="10"/>
            <color rgb="FF000000"/>
            <rFont val="Arial"/>
            <scheme val="minor"/>
          </rPr>
          <t>Green cells have updated URLs for NextGen Catalog.
	-Erica Boudreau</t>
        </r>
      </text>
    </comment>
  </commentList>
</comments>
</file>

<file path=xl/sharedStrings.xml><?xml version="1.0" encoding="utf-8"?>
<sst xmlns="http://schemas.openxmlformats.org/spreadsheetml/2006/main" count="10142" uniqueCount="3751">
  <si>
    <t>Series NAID</t>
  </si>
  <si>
    <t>Microfilm Publication Number (Sortable)</t>
  </si>
  <si>
    <t>Series Title (and Link to Images in Catalog if Available)</t>
  </si>
  <si>
    <t>Fold3.com Link</t>
  </si>
  <si>
    <t>Ancestry.com Link</t>
  </si>
  <si>
    <t>FamilySearch.org Link</t>
  </si>
  <si>
    <t>Other Partner Link</t>
  </si>
  <si>
    <t>Record Group</t>
  </si>
  <si>
    <t>National Archives Catalog Availability Status</t>
  </si>
  <si>
    <t>A3632</t>
  </si>
  <si>
    <t>Passenger Lists of Vessels Arriving at Pascagoula, Mississippi, 7/15/1903 - 5/21/1935 [This is a duplicate of M2027.]</t>
  </si>
  <si>
    <t>Complete</t>
  </si>
  <si>
    <t>A3633</t>
  </si>
  <si>
    <t>Crew Lists of Vessels Arriving at Pascagoula, Mississippi, 1/1/1907 - 9/5/1928</t>
  </si>
  <si>
    <t>Ancestry.com</t>
  </si>
  <si>
    <t>Not available</t>
  </si>
  <si>
    <t>A3635</t>
  </si>
  <si>
    <t>Passenger and Crew Manifests of Airplanes Arriving at Port Everglades (Fort Lauderdale), Florida, 12/1/1957 - 11/8/1969</t>
  </si>
  <si>
    <t>Partial</t>
  </si>
  <si>
    <t>A3636</t>
  </si>
  <si>
    <t>Passenger and Crew Manifests of Airplanes Arriving at Portland, Maine, 4/13/1946 - 11/24/1954</t>
  </si>
  <si>
    <t>A3638</t>
  </si>
  <si>
    <t>Alien Passenger Lists of Vessels Arriving at Savannah, Georgia, 6/5/1906 - 6/20/1948</t>
  </si>
  <si>
    <t>A3639</t>
  </si>
  <si>
    <t>U.S. Citizen Passenger Lists of Vessels Arriving at Savannah, Georgia, 6/5/1906 - 6/20/1948</t>
  </si>
  <si>
    <t>A3640</t>
  </si>
  <si>
    <t>Alien Crew Lists of Vessels Arriving at Savannah, Georgia, 1901–November 30, 1954</t>
  </si>
  <si>
    <t>A3645</t>
  </si>
  <si>
    <t>Passenger and Crew Manifests of Airplanes Arriving at Burbank, California, 9/1958 - 7/1959</t>
  </si>
  <si>
    <t>A3646</t>
  </si>
  <si>
    <t>Alien and Chinese Crew Lists of Vessels Arriving at Charleston, South Carolina, June 16, 1907–April 26, 1913</t>
  </si>
  <si>
    <t>A3648</t>
  </si>
  <si>
    <t>Passenger Lists of Vessels Arriving at Charleston, South Carolina, April 9, 1906–August 21, 1948</t>
  </si>
  <si>
    <t>A3649</t>
  </si>
  <si>
    <t>Passenger and Crew Lists of Vessels Arriving at Charleston, South Carolina, 12/1954 - 12/1982</t>
  </si>
  <si>
    <t>A3650</t>
  </si>
  <si>
    <t>Crew Lists of Vessels Arriving at Charleston, SC, January 1, 1910–November 29, 1954</t>
  </si>
  <si>
    <t>A3657</t>
  </si>
  <si>
    <t>Crew Lists of Vessels Arriving at Newport News, Virginia, 1909 - 11/1954</t>
  </si>
  <si>
    <t>A3663</t>
  </si>
  <si>
    <t>Crew Lists of Vessels Arriving at Norfolk, Virginia, 1909 - 11/30/1954</t>
  </si>
  <si>
    <t>A3666</t>
  </si>
  <si>
    <t>Passenger Lists of Vessels Arriving at Pensacola, Florida, 5/12/1900 - 7/16/1945</t>
  </si>
  <si>
    <t>FamilySearch.org</t>
  </si>
  <si>
    <t>A3672</t>
  </si>
  <si>
    <t>Passenger and Crew Manifests of Airplanes Arriving at Portland, Oregon, 1/1/1958 - 10/11/1969</t>
  </si>
  <si>
    <t>A3674</t>
  </si>
  <si>
    <t>Passenger and Crew Manifests of Airplanes Arriving at Savannah, Georgia, 1958-1962</t>
  </si>
  <si>
    <t>A3678</t>
  </si>
  <si>
    <t>Passenger and Crew Lists of Vessels and Airplanes Arriving at Davisville, Melville, Newport, and Quonset Point, Rhode Island, 3/3/1955 - 3/27/1957</t>
  </si>
  <si>
    <t>A3680</t>
  </si>
  <si>
    <t>Passenger and Crew Lists of Vessels Arriving at Juneau, Alaska, 12/1949 - 7/1961</t>
  </si>
  <si>
    <t>A3685</t>
  </si>
  <si>
    <t>Passenger Manifests of Airplanes Arriving at San Francisco, California, 3/5/1946 - 12/31/1951</t>
  </si>
  <si>
    <t>A3693</t>
  </si>
  <si>
    <t>Passenger Lists of Vessels Departing from Wiscasset, Maine, 11/6/1960 - 11/25/1962</t>
  </si>
  <si>
    <t>A3702</t>
  </si>
  <si>
    <t>Passenger Lists of Vessels Departing from Aberdeen, Washington, March 27, 1955–April 12, 1959</t>
  </si>
  <si>
    <t>A3709</t>
  </si>
  <si>
    <t>Passenger Lists of Vessels Departing from Astoria, Oregon, 1/1955 - 9/1957</t>
  </si>
  <si>
    <t>A3714</t>
  </si>
  <si>
    <t>Passenger and Crew Manifests of Airplanes Departing from Binghamton, New York, 7/1960 - 1/1962</t>
  </si>
  <si>
    <t>A3717</t>
  </si>
  <si>
    <t>Passenger and Crew Manifests of Airplanes Arriving at Chicago, Illinois, 12/1957 - 10/1969</t>
  </si>
  <si>
    <t>A3721</t>
  </si>
  <si>
    <t>Passenger and Crew Lists of Vessels Arriving at Clayton, New York, 5/1958 - 6/1958</t>
  </si>
  <si>
    <t>A3725</t>
  </si>
  <si>
    <t>Passenger and Crew Manifests of Airplanes Arriving at Dallas and Fort Worth, Texas, 6/6/1955 - 3/31/1957</t>
  </si>
  <si>
    <t>A3726</t>
  </si>
  <si>
    <t>Passenger and Crew Manifests of Airplanes Arriving at Del Rio, Texas, 1/1957 - 2/1960</t>
  </si>
  <si>
    <t>A3728</t>
  </si>
  <si>
    <t>Passenger and Crew Lists of Vessels and Airplanes Arriving at Detroit, Michigan, 4/1957 - 12/1981</t>
  </si>
  <si>
    <t>A3729</t>
  </si>
  <si>
    <t>Passenger and Crew Manifests of Airplanes Arriving at Douglas, Arizona, June 23, 1958–April 24, 1960</t>
  </si>
  <si>
    <t>A3730</t>
  </si>
  <si>
    <t>Crew Lists of Vessels Arriving at Edmonds, Washington, 1955–August 24, 1955</t>
  </si>
  <si>
    <t>A3734</t>
  </si>
  <si>
    <t>Passenger and Crew Lists of Vessels Arriving at Everett, Washington, December 1, 1954–January 31, 1956</t>
  </si>
  <si>
    <t>A3735</t>
  </si>
  <si>
    <t>Passenger Lists of Vessels Departing from Everett, Washington, November 16, 1955–December 17, 1961</t>
  </si>
  <si>
    <t>A3737</t>
  </si>
  <si>
    <t>Manifests of Alien Arrivals at Fairbanks, Alaska, 4/1944</t>
  </si>
  <si>
    <t>A3738</t>
  </si>
  <si>
    <t>Passenger and Crew Manifests of Airplanes Arriving at and Departing from Fairbanks, Alaska, 4/1956</t>
  </si>
  <si>
    <t>A3742</t>
  </si>
  <si>
    <t>Passenger and Crew Manifests of Airplane Arrivals at Fajardo, and Isla de Vieques, Puerto Rico, 12/1957 - 11/1962</t>
  </si>
  <si>
    <t>A3743</t>
  </si>
  <si>
    <t>Passenger and Crew Lists of Vessels Arriving at Fall River, Massachusetts, March 3, 1955–March 13, 1957</t>
  </si>
  <si>
    <t>A3745</t>
  </si>
  <si>
    <t>Crew Lists of Vessels Arriving at Fort Lauderdale (Port Everglades), Florida, January 1, 1946–March 21, 1954</t>
  </si>
  <si>
    <t>A3747</t>
  </si>
  <si>
    <t>Index to Manifests of Arrivals by Airplane at Fort Worth, Texas, 9/7/1942 - 7/7/1946</t>
  </si>
  <si>
    <t>A3748</t>
  </si>
  <si>
    <t>Passenger Manifests of Airplanes Arriving at Fort Worth, Texas, 9/7/1942 - 7/7/1946</t>
  </si>
  <si>
    <t>A3749</t>
  </si>
  <si>
    <t>Passenger and Crew Manifests of Airplanes Arriving at Fort Worth, Texas, 9/7/1942 - 7/4/1946</t>
  </si>
  <si>
    <t>A3753</t>
  </si>
  <si>
    <t>Passenger and Crew Manifests of Airplanes Arriving at Frederiksted, Saint Croix, U.S. Virgin Islands, 12/1954 - 8/1959</t>
  </si>
  <si>
    <t>A3754</t>
  </si>
  <si>
    <t>A3754 - Passenger and Crew Lists of Vessels Arriving at Friday Harbor, Washington, December 1954-January 1956</t>
  </si>
  <si>
    <t>A3755</t>
  </si>
  <si>
    <t>Crew Lists of Vessels Arriving at Galveston, Texas, 1904-1954</t>
  </si>
  <si>
    <t>A3757</t>
  </si>
  <si>
    <t>Crew Lists of Vessels Arriving at Georgetown, South Carolina, 1950-1954</t>
  </si>
  <si>
    <t>A3758</t>
  </si>
  <si>
    <t>Passenger and Crew Lists of Vessels Arriving at Georgetown, South Carolina, 9/1956 - 7/1970</t>
  </si>
  <si>
    <t>A3772</t>
  </si>
  <si>
    <t>Manifests of Alien Arrivals at Hyder, Alaska, 4/1916 - 11/1932</t>
  </si>
  <si>
    <t>A3773</t>
  </si>
  <si>
    <t>Passenger and Crew Manifests of Airplanes Arriving at Indianapolis, Indiana, 12/1957 - 4/1967</t>
  </si>
  <si>
    <t>A3775</t>
  </si>
  <si>
    <t>Passenger and Crew Manifests of Airplanes Departing from Kansas City, Missouri, 12/8/1958 - 6/15/1968</t>
  </si>
  <si>
    <t>A3785</t>
  </si>
  <si>
    <t>Passenger and Crew Manifests of Airplanes Departing from Memphis, Tennessee, 9/1958 - 10/1961</t>
  </si>
  <si>
    <t>A3792</t>
  </si>
  <si>
    <t>A3792 - Crew Lists of Vessels Arriving at Mukilteo, Washington, December 1954-October 1955</t>
  </si>
  <si>
    <t>A3805</t>
  </si>
  <si>
    <t>A3805 - Passenger Lists of Vessels Arriving at Saint Thomas, U.S. Virgin Islands, July 1907-May 1923</t>
  </si>
  <si>
    <t>A3821</t>
  </si>
  <si>
    <t>Additional Passenger and Crew Manifests of Airplanes Arriving at Tampa, Florida, 12/1/1957 - 11/11/1969</t>
  </si>
  <si>
    <t>A3827</t>
  </si>
  <si>
    <t>Passenger and Crew Manifests of Airplanes Arriving at Washington, DC, 12/2/1957 - 9/29/1969</t>
  </si>
  <si>
    <t>A3832</t>
  </si>
  <si>
    <t>Passenger and Crew Lists of Vessels and Airplanes Arriving at West Palm Beach, Florida, 12/1/1954 - 5/31/1983</t>
  </si>
  <si>
    <t>A3833</t>
  </si>
  <si>
    <t>Passenger and Crew Lists of Airplanes Arriving at West Palm Beach, Florida, 12/1/1957 - 11/7/1969</t>
  </si>
  <si>
    <t>A3838</t>
  </si>
  <si>
    <t>Passenger and Crew Manifests of Airplanes Arriving at Cleveland, Ohio, 2/1958 - 11/1969</t>
  </si>
  <si>
    <t>A3867</t>
  </si>
  <si>
    <t>Passenger and Crew Manifests of Airplanes Departing from Culebra, Puerto Rico, 10/8/1961 - 5/21/1962</t>
  </si>
  <si>
    <t>A3869</t>
  </si>
  <si>
    <t>Passenger and Crew Manifests of Airplanes Departing from Denver, Colorado, 12/12/1958 - 9/1/1964</t>
  </si>
  <si>
    <t>A3884</t>
  </si>
  <si>
    <t>Passenger and Crew Manifests of Airplanes Departing from Indianapolis, Indiana, 2/28/1961 - 8/13/1965</t>
  </si>
  <si>
    <t>A3908</t>
  </si>
  <si>
    <t>Passenger and Crew Lists of Vessels Arriving at Savannah, Georgia, 12/1/1954 - 4/30/1983</t>
  </si>
  <si>
    <t>A3926</t>
  </si>
  <si>
    <t>Passenger Lists of the Vessel Norango Departing from Boothbay Harbor, Maine, 7/27/1960 - 7/27/1960</t>
  </si>
  <si>
    <t>A3929</t>
  </si>
  <si>
    <t>Passenger Manifests of Airplanes Arriving at Charleston, South Carolina, January 1947-May 1947</t>
  </si>
  <si>
    <t>A3934</t>
  </si>
  <si>
    <t>Chinese Passenger Lists of Vessels Arriving at El Paso, Texas, 7/10/1906 - 6/2/1923</t>
  </si>
  <si>
    <t>A3935</t>
  </si>
  <si>
    <t>Manifests of American Airlines Passengers and Crew Arriving and Departing from El Paso, Texas, 9/1942 - 7/30/1948</t>
  </si>
  <si>
    <t>A3937</t>
  </si>
  <si>
    <t>Manifests of Alien and Citizen Arrivals at Fort Kent, Limestone, Madawaska, and Van Buren, Maine, ca. 9/1929 - ca. 10/1955</t>
  </si>
  <si>
    <t>A3938</t>
  </si>
  <si>
    <t>Passenger and Crew Lists of Vessels Arriving at Galveston, Texas, 12/2/1954 - 12/31/1981</t>
  </si>
  <si>
    <t>A3959</t>
  </si>
  <si>
    <t>Passenger and Crew Lists of Vessels Arriving at Port Everglades (Fort Lauderdale), Florida, 12/1/1954 - 8/31/1983</t>
  </si>
  <si>
    <t>A3968</t>
  </si>
  <si>
    <t>Crew Lists of Vessels Arriving at Gulfport, Mississippi, 1904-1954</t>
  </si>
  <si>
    <t>A3969</t>
  </si>
  <si>
    <t>Shipmaster Statements Regarding Changes in Crew of Vessels Departing from Gulfport, Mississippi, May 1917–November 1945</t>
  </si>
  <si>
    <t>A3973</t>
  </si>
  <si>
    <t>Passenger and Crew Manifests of Airplanes Arriving at San Antonio, Texas, 8/1/1944 - 7/1/1948</t>
  </si>
  <si>
    <t>A3974</t>
  </si>
  <si>
    <t>Passenger and Crew Manifests of Airplanes Arriving at San Antonio, Texas, 1/1/1955 - 11/30/1957</t>
  </si>
  <si>
    <t>A3978</t>
  </si>
  <si>
    <t>Passenger Lists of Vessels Arriving at Houston, Texas, 7/10/1948 - 11/28/1954</t>
  </si>
  <si>
    <t>A3979</t>
  </si>
  <si>
    <t>Crew Lists of Vessels Arriving at Houston, Texas, July 2, 1948–November 29, 1954</t>
  </si>
  <si>
    <t>A3981</t>
  </si>
  <si>
    <t>Passenger and Crew Manifests of Airplanes Arriving at Houston, Texas, 12/15/1946 - 11/30/1954</t>
  </si>
  <si>
    <t>A3983</t>
  </si>
  <si>
    <t>Alien Passenger Lists of Vessels Arriving at Jacksonville, Florida, 1946-1948</t>
  </si>
  <si>
    <t>A3985</t>
  </si>
  <si>
    <t>Passenger and Crew Lists of Vessels Arriving at Jacksonville, Florida, 12/1954 - 11/30/1984</t>
  </si>
  <si>
    <t>A3989</t>
  </si>
  <si>
    <t>Passenger and Crew Manifests of Airplanes Arriving at Memphis, Tennessee, 10/1958 - 9/1961</t>
  </si>
  <si>
    <t>A3994</t>
  </si>
  <si>
    <t>Passenger and Crew Manifests of Airplanes Arriving at Miami, Florida, 1942-1948</t>
  </si>
  <si>
    <t>A4001</t>
  </si>
  <si>
    <t>Index and Register of Vessels Arriving at Portland, Oregon, 8/1949 - 9/1955</t>
  </si>
  <si>
    <t>A4002</t>
  </si>
  <si>
    <t>Passenger and Crew Manifests of Airplanes Departing from Toledo, Ohio, 8/20/1959 - 4/19/1962</t>
  </si>
  <si>
    <t>A4023</t>
  </si>
  <si>
    <t>Passenger and Crew Lists of Vessels Arriving at Agana, Guam, 1/1948 - 4/1952</t>
  </si>
  <si>
    <t>A4024</t>
  </si>
  <si>
    <t>Crew Lists of Vessels Arriving at Agana, Guam, 6/1952 - 11/1954</t>
  </si>
  <si>
    <t>A4025</t>
  </si>
  <si>
    <t>Manifests of Alien Arrivals by Airplane at Houston, Texas, 12/1946 - 4/1954</t>
  </si>
  <si>
    <t>A4043</t>
  </si>
  <si>
    <t>Register of Alien College and University Students Admitted to the United States at San Francisco, California, 1924 - 1946</t>
  </si>
  <si>
    <t>A4050</t>
  </si>
  <si>
    <t>Indexes to Vessels Arriving at Seattle, Washington, ca. 1904 - 7/1955</t>
  </si>
  <si>
    <t>A4066</t>
  </si>
  <si>
    <t>Crew Lists of Vessels Arriving at Port Townsend, Washington, 8/1/1953 - 12/30/1975</t>
  </si>
  <si>
    <t>A4104</t>
  </si>
  <si>
    <t>Passenger and Crew Lists of Vessels and Airplanes Arriving at San Juan, Puerto Rico, 12/1/1954 - 11/30/1982</t>
  </si>
  <si>
    <t>A4120</t>
  </si>
  <si>
    <t>Card Manifests of Vessel Passengers on the Santa Margarita Departing from Port Royal, South Carolina, and of Vessel Passengers on the Santa Barbara Arriving at Brunswick, Georgia, 05/18/1959-04/13/1964</t>
  </si>
  <si>
    <t>A4121</t>
  </si>
  <si>
    <t>Crew Lists of Vessels Arriving at Providence, Rhode Island, December 1, 1954–March 28, 1957</t>
  </si>
  <si>
    <t>A4157</t>
  </si>
  <si>
    <t>Passenger Manifests of Hungarian Refugees Arriving on Airplanes at New York, New York, 1/1957 - 2/1957</t>
  </si>
  <si>
    <t>A4158</t>
  </si>
  <si>
    <t>Passenger Manifests (Nominal Rolls) of Military Personnel Arriving on Vessels at New York, New York, 5/31/1943 - 7/1/1955</t>
  </si>
  <si>
    <t>A4160</t>
  </si>
  <si>
    <t>Pre-Flight Inspection Manifests of Passengers Arriving at New York, New York, 4/1/1950 - 1952</t>
  </si>
  <si>
    <t>A4161</t>
  </si>
  <si>
    <t>Shipmaster Statements Regarding Changes in Crew of Vessels Departing from New York, New York, ca. 11/6/1940 - 7/31/1969</t>
  </si>
  <si>
    <t>A4184</t>
  </si>
  <si>
    <t>Alphabetical Index to Vessels Arriving at New York, New York, 1924 - 1943</t>
  </si>
  <si>
    <t>A4190</t>
  </si>
  <si>
    <t>Index to Alien Arrivals at Portland, Maine, ca. 1894 - ca. 1946</t>
  </si>
  <si>
    <t>A4192</t>
  </si>
  <si>
    <t>Alphabetical Index to Vessels Arriving at New York, New York, 1898 - 1924</t>
  </si>
  <si>
    <t>A4194</t>
  </si>
  <si>
    <t>Passenger and Crew Manifests of Airplanes Arriving at Saint Louis, Missouri, 1/21/1958 - 4/24/1968</t>
  </si>
  <si>
    <t>A4195</t>
  </si>
  <si>
    <t>Passenger Manifests of Airplanes Arriving at San Pedro, California, March 1946 - July 1947</t>
  </si>
  <si>
    <t>A4201</t>
  </si>
  <si>
    <t>Passenger Lists of Vessels Arriving at Portland, Maine, 2/1/1944 - 11/22/1954</t>
  </si>
  <si>
    <t>A4229</t>
  </si>
  <si>
    <t>Passenger Manifests of Airplanes Arriving at Philadelphia, Pennsylvania, 6/28/1944 - 6/29/1948</t>
  </si>
  <si>
    <t>M0327</t>
  </si>
  <si>
    <t>Index to Passenger Lists of Vessels Arriving at Baltimore (Federal Passenger Lists), 1820-1897</t>
  </si>
  <si>
    <t>M0351</t>
  </si>
  <si>
    <t>Compiled Service Records of Volunteer Soldiers Who Served During the Mexican War</t>
  </si>
  <si>
    <t>Fold3.com</t>
  </si>
  <si>
    <t>654814, 654816</t>
  </si>
  <si>
    <t>M0654</t>
  </si>
  <si>
    <t>Gen. James Wilkinson's Order Book, Dec. 31, 1796-Mar. 8, 1808</t>
  </si>
  <si>
    <t>M0689</t>
  </si>
  <si>
    <t>Letters Received by the Office of the Adjutant General (Main Series), 1881-1889</t>
  </si>
  <si>
    <t>M0846</t>
  </si>
  <si>
    <t>Schedules of the New Mexico Territory Census of 1885</t>
  </si>
  <si>
    <t>M1290</t>
  </si>
  <si>
    <t>Alphabetical Card Name Indexes to the Compiled Service Records of Volunteer Soldiers who Served in Union Organizations not Raised by States or Territories, Excepting the Veterans Reserve Corps and the U.S. Colored Troops</t>
  </si>
  <si>
    <t>M1383</t>
  </si>
  <si>
    <t>Passenger and Crew Lists of Vessels Arriving at Seattle, Washington, 1890-1957</t>
  </si>
  <si>
    <t>M1476</t>
  </si>
  <si>
    <t>Lists of Chinese Applying for Admission to the United States Through the Port of San Francisco, 1903-1947</t>
  </si>
  <si>
    <t>M1783</t>
  </si>
  <si>
    <t>Civilian Conservation Corps Newspaper 'Happy Days,' 1933-1940</t>
  </si>
  <si>
    <t>M1903</t>
  </si>
  <si>
    <t>Records of the Field Offices for the State of Georgia, Bureau of Refugees, Freedmen, and Abandoned Lands, 1865-1872.</t>
  </si>
  <si>
    <t>1561452, 1561453, 1561454</t>
  </si>
  <si>
    <t>M1927</t>
  </si>
  <si>
    <t>Records of the Monuments and Fine Arts Branch of the U.S. Allied Commission for Austria (USACA) Section, 1945-1950</t>
  </si>
  <si>
    <t>M2003</t>
  </si>
  <si>
    <t>Quarterly Abstracts of Seamen's Protection Certificates, New York City, NY, 1815-1869</t>
  </si>
  <si>
    <t>M2027</t>
  </si>
  <si>
    <t>Admitted Alien Crew Lists of Vessels Arriving at Pascagoula, Mississippi, 7/15/1903 - 5/21/1935</t>
  </si>
  <si>
    <t>M2045</t>
  </si>
  <si>
    <t>Crew Lists of Vessels Arriving at Manitowoc, Wisconsin, 1925-1956</t>
  </si>
  <si>
    <t>N/A</t>
  </si>
  <si>
    <t>Shore Establishment (Non-Ship Muster Rolls): A1 135, A1 136, A1 136A</t>
  </si>
  <si>
    <t>Original Records</t>
  </si>
  <si>
    <t>Enrollment Cards for the Five Civilized Tribes (Dawes Enrollment Cards), 1898 - 1914</t>
  </si>
  <si>
    <t>Compiled Military Service Records of Volunteer Union Soldiers Who Served in the United States Colored Troops: 66th-82nd Infantry</t>
  </si>
  <si>
    <t>Compiled Military Service Records of Volunteer Union Soldiers Who Served the United States Colored Troops: Miscellaneous Cards</t>
  </si>
  <si>
    <t>Compiled Military Service Records of Volunteer Union Soldiers Who Served the United States Colored Troops: Miscellaneous Personal Papers</t>
  </si>
  <si>
    <t>Compiled Military Service Records of Volunteer Union Soldiers Who Served the United States Colored Troops: Pioneer Corps, Cavalry Division, 16 Army Corps</t>
  </si>
  <si>
    <t>Compiled Military Service Records of Volunteer Union Soldiers Who Served the United States Colored Troops: Powell's Infantry, US Colored Infantry</t>
  </si>
  <si>
    <t>Compiled Military Service Records of Volunteer Union Soldiers Who Served the United States Colored Troops: Quartermaster's Detachment, US Colored Infantry</t>
  </si>
  <si>
    <t>Compiled Military Service Records of Volunteer Union Soldiers Who Served the United States Colored Troops: Southard's Co, US Colored Infantry</t>
  </si>
  <si>
    <t>Compiled Military Service Records of Volunteer Union Soldiers Who Served the United States Colored Troops: Unassigned Co A, US Colored Infantry</t>
  </si>
  <si>
    <t>Compiled Military Service Records of Volunteer Union Soldiers Who Served the United States Colored Troops: Unassigned, US Colored Infantry</t>
  </si>
  <si>
    <t>Compiled Service Records of Volunteer Union Soldiers Who Served in Organizations from the State of California</t>
  </si>
  <si>
    <t>Compiled Service Records of Volunteer Union Soldiers Who Served in Organizations from the State of Colorado</t>
  </si>
  <si>
    <t>Compiled Service Records of Volunteer Union Soldiers Who Served in Organizations from the State of Vermont</t>
  </si>
  <si>
    <t>Lists of Men Ordered to Report to Local Board for Military Service, 1917-1918</t>
  </si>
  <si>
    <t>Prisoner Identification Photographs, 1875 - ca. 1923</t>
  </si>
  <si>
    <t>Reports of the Deaths of American Citizens, compiled 01/1963-12/1974.</t>
  </si>
  <si>
    <t>List of Interred Soldiers of the U.S. Army, 1828-1888</t>
  </si>
  <si>
    <t>Declarations of Intention, 1932-1940, U.S. District Court for the Northern (Batesville) Division of the Eastern District of Arkansas.</t>
  </si>
  <si>
    <t>Petitions for Naturalization, Northern (Batesville) Division of the Eastern District of Arkansas, 1932-1942</t>
  </si>
  <si>
    <t>Immigration and Naturalization Service, Seattle District, Chinese Passenger Arrival and Disposition Volumes 1903-1944</t>
  </si>
  <si>
    <t>Historical Nurse Files, compiled ca. 1916 - ca. 1959</t>
  </si>
  <si>
    <t>ANRC</t>
  </si>
  <si>
    <t>Petitions for Naturalization, Alaska (U.S. Territorial Court for the Third (Anchorage) Division), 1916 - 1960</t>
  </si>
  <si>
    <t>Declarations of Intention for Citizenship, South Dakota (Western (Deadwood) Division), 1892 - 1900</t>
  </si>
  <si>
    <t>Declarations of Intention for Citizenship, South Dakota (Southern (Sioux Falls) Division), 1879 - 1924</t>
  </si>
  <si>
    <t>Declarations of Intention for Citizenship, Alaska (U.S. Territorial Court for the Third (Valdez) Division), 1902 - 1942</t>
  </si>
  <si>
    <t>List of U.S. residents serving in the British Expeditionary Forces, 1917-1918</t>
  </si>
  <si>
    <t>Record of Death Notices of U.S. Citizens Aboard, 1835-1855 (I-15, E-848)</t>
  </si>
  <si>
    <t>Notices of Deaths of U.S. Citizens Abroad, 1857-1922 (I-15, E-849)</t>
  </si>
  <si>
    <t>Emergency Passport Applications for Travel to China, 1915—1925</t>
  </si>
  <si>
    <t>Petitions of the Jewish Peoples' Committee, 1938-1938</t>
  </si>
  <si>
    <t>Petitions for Naturalization, Mississippi (Southern Division, Biloxi Term), 1929 - 1991</t>
  </si>
  <si>
    <t>Petitions for Naturalization, Mississippi (Delta (Clarksdale) Division of the Northern District), 1913 - 1952</t>
  </si>
  <si>
    <t>Petitions for Naturalization, Mississippi (Eastern (Aberdeen) Division of the Northern District), 1913 - 1953</t>
  </si>
  <si>
    <t>Petitions for Naturalization, Mississippi (Jackson Division of the Southern District), 1911 - 1956</t>
  </si>
  <si>
    <t>Declarations of Intention for Citizenship, Mississippi (Delta (Clarksdale) Division of the Northern District), 1913 - 1955</t>
  </si>
  <si>
    <t>Declarations of Intention for Citizenship, Mississippi (Western (Vicksburg) Division of the Southern District), 1915 - 1921</t>
  </si>
  <si>
    <t>Petitions for Naturalization, Mississippi (Eastern (Meridian) Division of the Southern District), 1908 - 1919</t>
  </si>
  <si>
    <t>Petitions for Naturalization, Mississippi (Western (Oxford) Division of the Northern District), 1914 - 1929</t>
  </si>
  <si>
    <t>Naturalization Certificate Stubs, Tennessee (Northern (Knoxville) Division of the Eastern District), 1908-1926</t>
  </si>
  <si>
    <t>Naturalization Certificate Stubs, Tennessee (Nashville Division of the Middle District), 1907 - 1923</t>
  </si>
  <si>
    <t>Naturalization Certificate Stubs, Tennessee (Northeastern (Greenville) Division of the Eastern District), 1909 - 1923</t>
  </si>
  <si>
    <t>Declarations of Intention, 1907-1911, U.S. District Court for the Western (Little Rock) Division of the Eastern District of Arkansas</t>
  </si>
  <si>
    <t>General Registers of Patients, 1872 - 1917</t>
  </si>
  <si>
    <t>Burial Registers of Military Post and National Cemeteries, compiled ca. 1862 - ca. 1960</t>
  </si>
  <si>
    <t>Applications for Travel Identification Cards, compiled 1918 - 1918</t>
  </si>
  <si>
    <t>Repatriation Oaths of Allegiance, Idaho (Southern (Boise) Division), 1937 - 1969</t>
  </si>
  <si>
    <t>Repatriation Oaths of Allegiance, Idaho (Northern (Coeur d'Alene) Division), 1939 - 1954</t>
  </si>
  <si>
    <t>Repatriation Oaths of Allegiance, Idaho (Central (Moscow) Division), 1938 - 1949</t>
  </si>
  <si>
    <t>Letters Sent, Louisiana (New Orleans Term of the Eastern District), 01/1909 - 06/1911</t>
  </si>
  <si>
    <t>Declarations of Intentions Filed in State and Local Courts, Louisiana (New Orleans Term of the Eastern District), ca. 1886 - 1911</t>
  </si>
  <si>
    <t>Petitions for Naturalization, Alaska (U.S. Territorial Court for the Fourth (Fairbanks) Division), 1907 - 1960</t>
  </si>
  <si>
    <t>Petitions for Naturalization Transferred from Other Courts, Idaho (Southern (Boise) Division), 1953-1977</t>
  </si>
  <si>
    <t>Petitions for Naturalization Transferred from Other Courts, Idaho (Northern (Ceour d'Alene Division), 1962-1966</t>
  </si>
  <si>
    <t>Petitions for Naturalization Transferred from Other Courts, Idaho (Central (Moscow) Division), 1955-1965</t>
  </si>
  <si>
    <t>Petitions for Naturalization Transferred from Other Courts, Idaho (Twin Falls County), 1956-1973</t>
  </si>
  <si>
    <t>Service Record Cards, 1904 - 1920</t>
  </si>
  <si>
    <t>Homestead Final Certificates, Nebraska (Chadron Land Office), 1887 - 1894</t>
  </si>
  <si>
    <t>Homestead Final Certificates, Nebraska (O'Neill, Dakota City, and Niobrara Land Offices), 1863 - 1908</t>
  </si>
  <si>
    <t>Declarations of Intention, Alaska (U.S. Territorial Court for the Fourth (Fairbanks) Division), 1909 - 1959</t>
  </si>
  <si>
    <t>Declarations of Intention, Alaska (U.S. District Court for the Anchorage Division), 1916 - 1986</t>
  </si>
  <si>
    <t>Declarations of Intention, Alaska (U.S. Territorial Court for the Fourth (Fairbanks) Division), 1927 - 1928</t>
  </si>
  <si>
    <t>Declarations of Intention, Alaska (U.S. Territorial Court for the Third (Valdez) Division, Cordova Term), 1922 - 1940</t>
  </si>
  <si>
    <t>Petitions for Naturalization Filed in Ruby, Alaska (U.S. Territorial Court for the Fourth (Fairbanks) Division), 1926 - 1931</t>
  </si>
  <si>
    <t>Certificate of Naturalization Receipt Stubs, Alaska (U.S. Territorial Court for the First (Juneau) Division), 1908 - 1909</t>
  </si>
  <si>
    <t>Certificate of Naturalization Receipt Stubs, Alaska (U.S. District Court for the Anchorage Division ), 1924 - 1991</t>
  </si>
  <si>
    <t>Naturalization Depositions, Alaska (U.S. Territorial Court for the Fourth (Fairbanks) Division), 1933 - 1960</t>
  </si>
  <si>
    <t>Petitions for Naturalization Granted and Denied, Alaska (District Court, Fairbanks), 1929-1980</t>
  </si>
  <si>
    <t>Petitions for Naturalization, Alaska (Territorial Court, Ketchikan), 1903-1960 [0001]</t>
  </si>
  <si>
    <t>Declarations of Intention Filed in McGrath, Alaska, 1927 - 1932</t>
  </si>
  <si>
    <t>Petitions for Naturalization, Alaska (Territorial Court, Seward), 1911-1956 [0001]</t>
  </si>
  <si>
    <t>Declarations of Intention, Alaska (District Court, Wiseman), 1927-1927</t>
  </si>
  <si>
    <t>Naturalization Certificate Stubs, Alaska (Territorial Court, Cordova), 1911-1914</t>
  </si>
  <si>
    <t>Naturalization Certificate Stubs, Alaska (Territorial Court, Valdez), 1908-1926</t>
  </si>
  <si>
    <t>Naturalization Stub Books, Alaska (Territorial Court, Fairbanks), 1908-1926</t>
  </si>
  <si>
    <t>Declarations of Intention, Alaska (District Court, Ruby and Iditarod), 1911-1928</t>
  </si>
  <si>
    <t>Orders Granting or Denying Naturalization, Alaska (Territorial Court, Valdez), 1906-1914</t>
  </si>
  <si>
    <t>Oaths for Licensed Vessels &lt;20T (Sitka, Alaska), 1898-1907</t>
  </si>
  <si>
    <t>Naturalization Orders, Ohio (U.S. District Court for the Eastern (Cleveland) Division of the Northern District), 9/9/1926 - 12/19/1966</t>
  </si>
  <si>
    <t>Index to Declarations of Intention, Ohio(U.S. District Court for the Eastern (Cleveland) Division of the Northern District), 1855 - 1941</t>
  </si>
  <si>
    <t>Certificate of Naturalization Stubs, Illinois (Eastern (Chicago) Division of the Northern District), 1907-1925</t>
  </si>
  <si>
    <t>Declarations of Intention, Ohio (U.S. District Court for the Eastern (Columbus) Division of the Southern District), 10/27/1917 - 11/16/1950</t>
  </si>
  <si>
    <t>Unknown</t>
  </si>
  <si>
    <t>A1154</t>
  </si>
  <si>
    <t>Non-population Census Schedules for Washington Territory, 1860-1880.</t>
  </si>
  <si>
    <t>A1158</t>
  </si>
  <si>
    <t>Numerical Index to Pensions, 1860-1934</t>
  </si>
  <si>
    <t>A2892</t>
  </si>
  <si>
    <t xml:space="preserve">Passenger Manifests of Airplanes Departing from Port Everglades, Florida, 12/1/1957 - 11/8/1969
</t>
  </si>
  <si>
    <t>A3302</t>
  </si>
  <si>
    <t>Portland Area Office Individual Indian Probate Case Files</t>
  </si>
  <si>
    <t>A3355</t>
  </si>
  <si>
    <t>Miscellaneous Lists and Registers of German Concentration Camp Inmates, Originated or Collected by the International Tracing Service (Arolsen) (Holocaust)</t>
  </si>
  <si>
    <t>A3361</t>
  </si>
  <si>
    <t>Register of Citizen Arrivals (1943-1947) and Alien Arrivals (1936-1949) by Aircraft at San Francisco, California.</t>
  </si>
  <si>
    <t>A3362</t>
  </si>
  <si>
    <t>Partnership Lists of Chinese Firms in San Francisco, California, and Nationwide, and Index of Chinese Departing from San Francisco, California, 1893 - 1943</t>
  </si>
  <si>
    <t>A3363</t>
  </si>
  <si>
    <t>Passenger and Crew Lists of Vessels Arriving at Ventura, California, May 1929-December 1956</t>
  </si>
  <si>
    <t>A3365</t>
  </si>
  <si>
    <t>Lists of Aliens Arriving at Brownsville, Del Rio, Eagle Pass, El Paso, Laredo, Presidio, Rio Grande City and Roma, Texas, May 1903-June 1909, and at Aros Ranch, Douglas, Lochiel, Naco and Nogales, Arizona, July 1906-December 1910</t>
  </si>
  <si>
    <t>A3370</t>
  </si>
  <si>
    <t>Manifests of Alien Arrivals at Columbus, New Mexico, 1917-1954</t>
  </si>
  <si>
    <t>A3371</t>
  </si>
  <si>
    <t>Passenger Lists of Vessels Arriving at Knights Key, Florida, February 1908-January 1912.</t>
  </si>
  <si>
    <t>A3372</t>
  </si>
  <si>
    <t>Manifests of Alien Arrivals at Naco, Arizona, 1908-1952</t>
  </si>
  <si>
    <t>A3374</t>
  </si>
  <si>
    <t>Passenger Lists of Airplanes Departing from Honolulu, Hawaii, and Arriving at San Pedro and Los Angeles, California, 03/07/1946 - 06/30/1948</t>
  </si>
  <si>
    <t>A3376</t>
  </si>
  <si>
    <t>Passenger Lists of Vessels (Jan. 1949-Mar. 1957) and Passenger and Crew Lists of Airplanes (June 1947-Mar. 1957) Departing from Seattle and Tacoma, Washington.</t>
  </si>
  <si>
    <t>A3377</t>
  </si>
  <si>
    <t>Manifests of alien arrivals at Ajo, Lukeville, and Sonoyta (Sonoita), Arizona, January 1919-December 1952, and at Los Ebanos, Texas, December 1950-May 1955.</t>
  </si>
  <si>
    <t>A3378</t>
  </si>
  <si>
    <t>Enumeration District Maps for the Twelfth Through Sixteenth Censuses of the United States, 1900-1940.</t>
  </si>
  <si>
    <t>A3380</t>
  </si>
  <si>
    <t>Microfilm Copies of Reports From the Mediterranean and European Theaters of Operations Received From the Allied Military Government, 1943-1946</t>
  </si>
  <si>
    <t>A3381</t>
  </si>
  <si>
    <t>Register of Federal Court Cases Related to Chinese Americans and Chinese Immigrants Arriving at or Departing from San Francisco, California, ca. 1883-ca. 1916, and Head Tax Cards of Alien Seamen Examined at San Francisco, California, 1921-1924</t>
  </si>
  <si>
    <t>A3382</t>
  </si>
  <si>
    <t>Index to Alien Arrivals by Airplane at Miami, Florida</t>
  </si>
  <si>
    <t>A3383</t>
  </si>
  <si>
    <t>Card File of Japanese Works, Collections, Sites and Installations Requiring Protection, 1946</t>
  </si>
  <si>
    <t>A3384</t>
  </si>
  <si>
    <t>Crew Lists of Vessels Arriving at Two Harbors, Minnesota, August 1929-October 1956.</t>
  </si>
  <si>
    <t>A3385</t>
  </si>
  <si>
    <t>Lists of Passengers who Arrived at San Pedro/Los Angeles, California, 1920-1949, in Transit to their Final Destinations.</t>
  </si>
  <si>
    <t>A3386</t>
  </si>
  <si>
    <t>Manifests of Alien and Citizen Arrivals at Babb, Montana, June 1928-October 1956</t>
  </si>
  <si>
    <t>A3389</t>
  </si>
  <si>
    <t>Records Concerning the Central Collecting Points ("Ardelia Hall Collection"): Selected Microfilm Reproductions and Related Records, 1945-1949.</t>
  </si>
  <si>
    <t>A3392</t>
  </si>
  <si>
    <t>Passenger Lists of Airplanes Departing from Honolulu, Hawaii, January 27, 1942-July 1, 1948</t>
  </si>
  <si>
    <t>A3393</t>
  </si>
  <si>
    <t>Index to Manifests of Permanent and Statistical Alien Arrivals at Laredo, Texas, December 1929-April 1955</t>
  </si>
  <si>
    <t>A3394</t>
  </si>
  <si>
    <t>Passenger Lists of Vessels and Airplanes Arriving at Port Everglades, Florida, February 1932-May 1951.</t>
  </si>
  <si>
    <t>A3395</t>
  </si>
  <si>
    <t>Indexes and Manifests of Alien Arrivals at Del Rio, Texas, June 1906-July 1953.</t>
  </si>
  <si>
    <t>A3396</t>
  </si>
  <si>
    <t>Index to Manifests of Permanent and Statistical Alien Arrivals at El Paso, Texas, July 1924- July 1952</t>
  </si>
  <si>
    <t>A3397</t>
  </si>
  <si>
    <t>Crew Lists of Vessels Arriving at Green Bay, Wisconsin, October 1925-November 1969.</t>
  </si>
  <si>
    <t>A3398</t>
  </si>
  <si>
    <t>Crew Lists of Vessels Arriving at Aransas Pass and Port Aransas, Texas, 1912-1921 and 1959-1965</t>
  </si>
  <si>
    <t>A3399</t>
  </si>
  <si>
    <t>Crew Lists of Vessels Arriving at Milwaukee, Wisconsin and Records of Selected Airplane Passengers, 08/1922 - 01/1963</t>
  </si>
  <si>
    <t>A3400</t>
  </si>
  <si>
    <t>Manifests of Alien Arrivals at International Falls, Baudette, Duluth, Mineral Center, Pigeon River, Pine Creek, Roseau, and Warroad, Minnesota, January 1907-December 1952.</t>
  </si>
  <si>
    <t>A3401</t>
  </si>
  <si>
    <t>Manifests of Alien Arrivals at Eastport, Fort Kent, Lubec, and Madawaska, Maine, ca. 1906-December 1952.</t>
  </si>
  <si>
    <t>A3402</t>
  </si>
  <si>
    <t>Manifests of Alien Arrivals at Newport, Vermont, ca. 1906-June 1924</t>
  </si>
  <si>
    <t>A3403</t>
  </si>
  <si>
    <t>Manifests of Alien and Selected U.S. Citizen Arrivals at Anacortes, Danville, Ferry, Laurier, Lynden, Marcus, Metaline Falls, Northport, Oroville, Port Angeles, and Sumas, Washington, May 1917-November 1956.</t>
  </si>
  <si>
    <t>A3404</t>
  </si>
  <si>
    <t>Index to Passenger Arrivals in the U.S. Virgin Islands, ca. 1906-ca. 1947.</t>
  </si>
  <si>
    <t>A3405</t>
  </si>
  <si>
    <t>A3406</t>
  </si>
  <si>
    <t>Nonstatistical Manifests and Statistical Index Cards of Aliens Arriving at El Paso, Texas, 1905-1927.</t>
  </si>
  <si>
    <t>A3407</t>
  </si>
  <si>
    <t>Index to Filipino Passengers Arriving at Honolulu, Hawaii, ca. 1900-ca. 1952</t>
  </si>
  <si>
    <t>A3408</t>
  </si>
  <si>
    <t>Registers of Japanese, Filipinos, and Hawaiians Held for Boards of Special Inquiry at San Francisco, California, 09/02/1928 - 02/07/1942</t>
  </si>
  <si>
    <t>A3409</t>
  </si>
  <si>
    <t>Passenger and Crew Lists of Vessels Arriving at and Departing from Ogdensburg, New York, 05/27/1948 - 11/28/1972</t>
  </si>
  <si>
    <t>A3410</t>
  </si>
  <si>
    <t>A3411</t>
  </si>
  <si>
    <t>Index to Filipino Contract Laborers and Their Wives and Children Arriving at Honolulu, Hawaii, 1946.</t>
  </si>
  <si>
    <t>A3412</t>
  </si>
  <si>
    <t>Manifests of Statistical Alien Arrivals at El Paso, Texas, May 1909-October 1924.</t>
  </si>
  <si>
    <t>A3413</t>
  </si>
  <si>
    <t>Crew Lists of Vessels Arriving at Escanaba, Michigan, May 1946-November 1956 (among other ports listed)</t>
  </si>
  <si>
    <t>A3414</t>
  </si>
  <si>
    <t>Passenger Lists of Chinese Arrivals at Vancouver, British Columbia, Canada, January 1906-June 1912.</t>
  </si>
  <si>
    <t>A3416</t>
  </si>
  <si>
    <t>Manifest of Alien Arrivals at Portal, North Dakota, 1915-1921</t>
  </si>
  <si>
    <t>A3417</t>
  </si>
  <si>
    <t>Index to Alien Crewmen Who Were Discharged or Who Deserted at New York, New York, 5/1917 - 11/1957</t>
  </si>
  <si>
    <t>A3418</t>
  </si>
  <si>
    <t>Crew Lists of Vessels Arriving at Algonac, Marine City, Marysville, and Roberts Landing, Michigan, 5/1937 - 1/1957</t>
  </si>
  <si>
    <t>A3419</t>
  </si>
  <si>
    <t>Passenger and Crew Lists of Vessels Arriving at or Near San Luis Obispo California, September 1907-December 1955.</t>
  </si>
  <si>
    <t>A3420</t>
  </si>
  <si>
    <t>Crew Lists of Vessels Arriving at Sodus Point, New York, 1945-1957</t>
  </si>
  <si>
    <t>A3421</t>
  </si>
  <si>
    <t>Crew Lists of Vessels Arriving at Detour, Michigan, 1946 - 1956</t>
  </si>
  <si>
    <t>A3422</t>
  </si>
  <si>
    <t>Passenger Lists of Vessels Arriving at Honolulu, Hawaii, 1900-1953</t>
  </si>
  <si>
    <t>1956106 (Former NAID 4497956)</t>
  </si>
  <si>
    <t>A3423</t>
  </si>
  <si>
    <t>Passenger and Crew Lists of Airplanes Arriving at Brownsville, Texas, 1943 - 1964</t>
  </si>
  <si>
    <t>A3424</t>
  </si>
  <si>
    <t>Crew Lists of Vessels Arriving at Robbinston, Maine, 08/17/1947 - 06/03/1954</t>
  </si>
  <si>
    <t>A3425</t>
  </si>
  <si>
    <t>Passenger and Crew Lists of vessels arriving at Buffalo, Lackawanna, and North Tonawanda, New York, 1945-1974</t>
  </si>
  <si>
    <t>A3426</t>
  </si>
  <si>
    <t>Passenger Lists, 1962-1972, and Crew Lists, 1943-1972, of Vessels Arriving at Oswego, New York.</t>
  </si>
  <si>
    <t>A3428</t>
  </si>
  <si>
    <t>Manifests of Alien Arrivals at Bangor and Houlton, Maine, ca. 1906-1953.</t>
  </si>
  <si>
    <t>A3429</t>
  </si>
  <si>
    <t>Manifests of Alien Arrivals at Algonac, Marine City, Roberts Landing, Saint Clair, and Sault Sainte Marie, Michigan, 1903-1955</t>
  </si>
  <si>
    <t>A3430</t>
  </si>
  <si>
    <t>Crew Lists of Vessels Arriving at Alpena, Bay City, Mackinac Island, Rogers City, Saginaw, and Saint Clair, Michigan, June 1945-June 1966.</t>
  </si>
  <si>
    <t>A3431</t>
  </si>
  <si>
    <t>Nonstatistical Manifests of Temporary Alien Arrivals at Laredo, Texas, July 1908-February 1912</t>
  </si>
  <si>
    <t>A3432</t>
  </si>
  <si>
    <t>Crew Lists of Vessels Arriving at Hancock, Isle Royale, Marquette, Menominee, and Sault Sainte Marie, Michigan, January 1946-January 1957.</t>
  </si>
  <si>
    <t>A3433</t>
  </si>
  <si>
    <t>Crew Lists of Vessels Arriving at Grand Haven, Manistee, Muskegon, and South Haven, Michigan, 5/1948 - 12/1956</t>
  </si>
  <si>
    <t>A3434</t>
  </si>
  <si>
    <t>Indexes and Manifests of Alien Arrivals at Anchorage, Juneau, Skagway, and Tok Junction, Alaska, ca. 1910-ca. 1956</t>
  </si>
  <si>
    <t>A3435</t>
  </si>
  <si>
    <t>Crew Lists of Vessels Arriving at and Passenger Lists of Vessels Departing from Alexandria, Virginia, 04/27/1946 - 03/08/1957</t>
  </si>
  <si>
    <t>A3436</t>
  </si>
  <si>
    <t>Crew Lists of Vessels Arriving at Piney Point, Maryland, 08/01/1950 - 03/09/1956</t>
  </si>
  <si>
    <t>A3437</t>
  </si>
  <si>
    <t>Manifests of Statistical and Some Nonstatistical Alien Arrivals at Laredo, Texas, May 1903-April 1955.</t>
  </si>
  <si>
    <t>A3438</t>
  </si>
  <si>
    <t>Passenger Lists of Airplanes Arriving at San Juan, Puerto Rico, December 1929-December 1941</t>
  </si>
  <si>
    <t>A3440</t>
  </si>
  <si>
    <t>Manifests of Alien Arrivals at Sweet Grass, Montana, 8/24/1917 - 6/30/1954</t>
  </si>
  <si>
    <t>A3441</t>
  </si>
  <si>
    <t>Manifests of Alien Arrivals at Port Huron, Michigan, compiled 02/22/1902 - 12/24/1954</t>
  </si>
  <si>
    <t>A3443</t>
  </si>
  <si>
    <t>Crew Lists of Vessels Arriving at Port Huron, Michigan, 10/19/1929 - 1/1/1957</t>
  </si>
  <si>
    <t>A3444</t>
  </si>
  <si>
    <t>Crew Lists of Vessels Arriving at Baudette, Grand Marais, International Falls, Ranier, and Warroad, Minnesota, 1946-1956</t>
  </si>
  <si>
    <t>A3445</t>
  </si>
  <si>
    <t>Land Border Entries and Passenger Lists of Vessels Arriving at Vancouver and Victoria, British Columbia, Canada, January 1894-February 1905.</t>
  </si>
  <si>
    <t>A3446</t>
  </si>
  <si>
    <t>Lists of Chinese Passengers Arriving at Vancouver and Victoria, British Columbia, Canada, 6/22/1929 - 1/10/1941</t>
  </si>
  <si>
    <t>A3447</t>
  </si>
  <si>
    <t>Manifests of Alien Arrivals at Chief Mountain, Cut Bank, Del Bonita, Gateway, Great Falls, and Roosville, Montana, and of Alien Departures from Great Falls, Montana, 1/1/1923 - 12/1956</t>
  </si>
  <si>
    <t>A3448</t>
  </si>
  <si>
    <t>Manifests of Alien Arrivals at Havre, Loring, Opheim, Raymond, Turner, Westby, and White Tail, Montana, 1924-1956</t>
  </si>
  <si>
    <t>A3449</t>
  </si>
  <si>
    <t>Crew Lists of Vessels Arriving at Rouses Point and Waddington, New York, 1954-1956</t>
  </si>
  <si>
    <t>A3450</t>
  </si>
  <si>
    <t>Records of Aliens Pre-Examined at Saint John, New Brunswick, ca. 1917-ca. 1942, Prior to Admission at the U.S.-Canada Border</t>
  </si>
  <si>
    <t>A3451</t>
  </si>
  <si>
    <t>Records of Aliens Pre-Examined at Winnipeg, Manitoba, Canada, 1922-1954, Prior to Admission at the U.S.-Canada Border</t>
  </si>
  <si>
    <t>A3452</t>
  </si>
  <si>
    <t>Crew Lists of Vessels Arriving at Duluth, Minnesota, and Superior, Wisconsin, 1922-1958</t>
  </si>
  <si>
    <t>A3453</t>
  </si>
  <si>
    <t>Index to Passenger Lists of Vessels Arriving at Boston, Massachusetts, 1921-1949</t>
  </si>
  <si>
    <t>A3455</t>
  </si>
  <si>
    <t>Permanent and Statistical Manifests of Alien Arrivals at El Paso, Texas, 4/1924 - 9/1954</t>
  </si>
  <si>
    <t>A3456</t>
  </si>
  <si>
    <t>Crew Lists of Vessels Arriving at Rochester, New York, compiled 1944 - 1958</t>
  </si>
  <si>
    <t>A3457</t>
  </si>
  <si>
    <t>Crew Lists of Vessels Arriving at Eastport, Maine, 1949 - 1958</t>
  </si>
  <si>
    <t>A3458</t>
  </si>
  <si>
    <t>Passenger and Crew Lists of Vessels Arriving at Corpus Christie, Texas, and vicinity, June 1948-January 1959</t>
  </si>
  <si>
    <t>A3459</t>
  </si>
  <si>
    <t>Crew Lists of Vessels Arriving at Erie, Pennsylvania, 4/1952 - 3/1957</t>
  </si>
  <si>
    <t>A3460</t>
  </si>
  <si>
    <t>Manifests of Alien Arrivals at Eastport, Idaho, 1924-1956</t>
  </si>
  <si>
    <t>A3461</t>
  </si>
  <si>
    <t>Supplemental Manifests of Alien Passengers and Crew Members Who Arrived on Vessels at New York, New York, 1887-1952, Who Were Inspected for Admission, 1915-1952, and Related Index.</t>
  </si>
  <si>
    <t>A3462</t>
  </si>
  <si>
    <t>Manifests of Alien Arrivals at Porthill, Idaho, 1923-1952</t>
  </si>
  <si>
    <t>A3463</t>
  </si>
  <si>
    <t>Records of Aliens Pre-Examined at Halifax, Nova Scotia, Prior to Admission at the U.S.-Canada Border, compiled 1923 - 1933</t>
  </si>
  <si>
    <t>A3464</t>
  </si>
  <si>
    <t>Indexes to Vessels Arriving at New York, New York, 6/16/1897 - 12/31/1956</t>
  </si>
  <si>
    <t>A3466</t>
  </si>
  <si>
    <t>Manifests of Alien Arrivals at Presidio, Texas, compiled ca. 1911 - 1955</t>
  </si>
  <si>
    <t>A3467</t>
  </si>
  <si>
    <t>Manifests of Alien Arrivals at Calexico, CA, March 1907-December 1952</t>
  </si>
  <si>
    <t>A3468</t>
  </si>
  <si>
    <t>Passenger and Crew Lists of Vessels Arriving at Providence, Davisville, Melville, Newport, Quonset Point, and Tiverton, Rhode Island; Fall River, Massachusetts; and New London, Connecticut, Aug. 1918-Nov. 1954</t>
  </si>
  <si>
    <t>A3469</t>
  </si>
  <si>
    <t>Non-population Census Schedules for New Jersey, 1880: Supplemental Schedules of Defective, Dependent, and Delinquent Classes.</t>
  </si>
  <si>
    <t>A3470</t>
  </si>
  <si>
    <t>Chinese Passenger and Crew Lists of Vessels Arriving at San Diego, California, 10/1905 - 7/1923</t>
  </si>
  <si>
    <t>A3471</t>
  </si>
  <si>
    <t>Passenger Lists of Vessels Arriving at San Diego, California, 1904-1952</t>
  </si>
  <si>
    <t>A3472</t>
  </si>
  <si>
    <t>A3475</t>
  </si>
  <si>
    <t>Crew Lists of Vessels Arriving at East Chicago and Gary, Indiana, 1945 - 1956</t>
  </si>
  <si>
    <t>A3476</t>
  </si>
  <si>
    <t>Manifests of Alien Arrivals at Blaine, Washington, July 1905-June 1924</t>
  </si>
  <si>
    <t>A3477</t>
  </si>
  <si>
    <t>Registers of Vessels Arriving at Philadelphia, Pennsylvania, 1907-1913 and 1920-1952.</t>
  </si>
  <si>
    <t>A3478</t>
  </si>
  <si>
    <t>Certificates of Identity Issued to U.S. Citizens Pre-Examined at Winnipeg, Who Entered the United States at Noyes, Minnesota, and Pembina and Walhalla, North Dakota, 1/1917 - 12/1929</t>
  </si>
  <si>
    <t>A3479</t>
  </si>
  <si>
    <t>Manifests of Alien Arrivals at Northgate and Saint John, North Dakota, 1910-1921</t>
  </si>
  <si>
    <t>A3480</t>
  </si>
  <si>
    <t>A3481</t>
  </si>
  <si>
    <t>Passenger and Crew Lists of Vessels Arriving at Wilmington and Morehead City, North Carolina, compiled 1908 - 1958</t>
  </si>
  <si>
    <t>A3482</t>
  </si>
  <si>
    <t>Crew Lists of Vessels Arriving at Toledo, Ohio, August 1929-November 1958</t>
  </si>
  <si>
    <t>A3485</t>
  </si>
  <si>
    <t>Soundex Index to Supplemental Manifests of Alien Passengers and Crew Members Who Arrived on Vessels at New York, New York, 1887-1921, Who Were Inspected for Admission, 1915-1921.</t>
  </si>
  <si>
    <t>A3486</t>
  </si>
  <si>
    <t>Registers of Vessels Arriving at New York, New York, 5/1917 - 12/1971</t>
  </si>
  <si>
    <t>A3487</t>
  </si>
  <si>
    <t>Registers of Vessels Departing from New York, New York, 8/11/1917 - 12/31/1971</t>
  </si>
  <si>
    <t>A3488</t>
  </si>
  <si>
    <t>Temporary Manifests of Alien Arrivals by Airplane at Dallas and Fort Worth, Texas, 9/7/1942 - 11/1946</t>
  </si>
  <si>
    <t>A3489</t>
  </si>
  <si>
    <t>Passenger Manifests of Airplanes Arriving at New Orleans, Louisiana, 6/14/1943 - 6/30/1948</t>
  </si>
  <si>
    <t>A3490</t>
  </si>
  <si>
    <t>Manifests of Alien Arrivals at Baudette, Warroad, and International Falls, Minnesota, March 1910-July 1923.</t>
  </si>
  <si>
    <t>A3491</t>
  </si>
  <si>
    <t>Manifests of Alien and Citizen Arrivals at Noyes, Minnesota, and Dunseith, Neche, Pembina, Saint John, North Dakota, 1/1912 - 12/1956</t>
  </si>
  <si>
    <t>A3492</t>
  </si>
  <si>
    <t>Manifests of Alien Arrivals at Hidalgo, Texas</t>
  </si>
  <si>
    <t>A3495</t>
  </si>
  <si>
    <t>Passenger and Crew Manifests of Airplanes Arriving at Agana, Guam, 7/1947 - 11/1954</t>
  </si>
  <si>
    <t>A3496</t>
  </si>
  <si>
    <t>Passenger and Crew Lists of Vessels Arriving at Agana, Guam, 1/1948 - 11/1954</t>
  </si>
  <si>
    <t>A3497</t>
  </si>
  <si>
    <t>Passenger and Crew Manifests of Vessels and Airplanes Arriving at Agana, Guam, 12/1957 - 6/1969</t>
  </si>
  <si>
    <t>A3498</t>
  </si>
  <si>
    <t>Passenger and Crew Manifests of Airplanes Arriving at Agana, Guam, 12/1957 - 6/1969</t>
  </si>
  <si>
    <t>A3500</t>
  </si>
  <si>
    <t>Crew Lists of Vessels Arriving at Anacortes, Washington, 12/20/1954 - 5/28/1965</t>
  </si>
  <si>
    <t>A3501</t>
  </si>
  <si>
    <t>Manifests of Alien Arrivals at Anchorage, Alaska, 4/1944 - 12/1953</t>
  </si>
  <si>
    <t>A3502</t>
  </si>
  <si>
    <t>Passenger and Crew Manifests of Airplanes and Vessels Arriving at Anchorage, Alaska, 1/1947 - 12/1981</t>
  </si>
  <si>
    <t>A3503</t>
  </si>
  <si>
    <t>Passenger and Crew Manifests of Airplanes Arriving at Anchorage, Alaska, 12/1957 - 10/1969</t>
  </si>
  <si>
    <t>A3505</t>
  </si>
  <si>
    <t>Crew Lists of Vessels Arriving at Baltimore, Maryland, January 1910 - November 1954</t>
  </si>
  <si>
    <t>A3506</t>
  </si>
  <si>
    <t>Passenger and Crew Manifests of Airplanes Arriving at Baltimore, Maryland, 9/13/1942 - 9/5/1969</t>
  </si>
  <si>
    <t>A3507</t>
  </si>
  <si>
    <t>Crew Lists of Vessels Arriving at Bangor, Maine, 1933-1954</t>
  </si>
  <si>
    <t>A3508</t>
  </si>
  <si>
    <t>Passenger and Crew Lists of Vessels Arriving at Bangor, Maine, 5/6/1948 - 12/11/1976</t>
  </si>
  <si>
    <t>A3510</t>
  </si>
  <si>
    <t>Passenger Lists of Vessels Departing from Honolulu, Hawaii, compiled 06/1900 - 11/1954</t>
  </si>
  <si>
    <t>A3511</t>
  </si>
  <si>
    <t>Passenger and Crew Manifests of Airplanes Arriving at Kansas City, Missouri, 12/1958 - 12/1967</t>
  </si>
  <si>
    <t>A3512</t>
  </si>
  <si>
    <t>Passenger and Crew Lists of Vessels Arriving at Ketchikan, Alaska, 7/1906 - 12/1981</t>
  </si>
  <si>
    <t>A3513</t>
  </si>
  <si>
    <t>Crew Lists of Vessels Arriving at Ketchikan, Alaska</t>
  </si>
  <si>
    <t>A3514</t>
  </si>
  <si>
    <t>A3515</t>
  </si>
  <si>
    <t>Alien Passenger List of Vessels Arriving at Key West, Florida, 1925-1947</t>
  </si>
  <si>
    <t>A3516</t>
  </si>
  <si>
    <t>Crew Manifests of Airplanes Arriving at and Departing from Key West, Florida, November 1944 - November 1954</t>
  </si>
  <si>
    <t>A3517</t>
  </si>
  <si>
    <t>Crew Lists of Vessels Arriving at Kittery, Maine, 8/12/1957 - 5/30/1964</t>
  </si>
  <si>
    <t>A3518</t>
  </si>
  <si>
    <t>Crew Lists of Vessels Arriving at Kenosha, Wisconsin, 7/1958 - 11/1967</t>
  </si>
  <si>
    <t>A3519</t>
  </si>
  <si>
    <t>Index of Vessels Arriving and Departing from Lake Charles, Louisiana, 10/1940 - 8/1960</t>
  </si>
  <si>
    <t>A3520</t>
  </si>
  <si>
    <t>Passenger and Crew Lists of Vessels Arriving at Lake Charles, Louisiana, 1/1946 - 9/1981</t>
  </si>
  <si>
    <t>A3521</t>
  </si>
  <si>
    <t>Crew Lists of Vessels Arriving at Lake Charles, Louisiana, 10/1940 - 11/1954</t>
  </si>
  <si>
    <t>A3522</t>
  </si>
  <si>
    <t>Crew Lists of Vessels Arriving at Longview, Washington, 12/14/1954 - 12/31/1981</t>
  </si>
  <si>
    <t>A3523</t>
  </si>
  <si>
    <t>Crew Lists of Vessels Arriving at Portsmouth, New Hampshire, 2/21/1955 - 1/1/1977</t>
  </si>
  <si>
    <t>A3524</t>
  </si>
  <si>
    <t>Passenger Manifests of Airplanes Arriving at San Antonio, Texas, 12/1/1957 - 11/10/1969</t>
  </si>
  <si>
    <t>A3525</t>
  </si>
  <si>
    <t>Passenger and Crew Lists of Vessels Arriving at San Diego, California, 12/1/1954 - 6/30/1970</t>
  </si>
  <si>
    <t>A3528</t>
  </si>
  <si>
    <t>Passenger and Crew Manifests of Airplanes Arriving at San Diego, California, 12/2/1957 - 10/29/1969</t>
  </si>
  <si>
    <t>A3529</t>
  </si>
  <si>
    <t>Passenger Manifests of Vessels Arriving at San Diego, California, 3/16/1963 - 8/10/1965</t>
  </si>
  <si>
    <t>A3530</t>
  </si>
  <si>
    <t>Passenger Lists of Vessels and Airplanes Departing from Atlantic Seaports of Canada, 7/1/1948 - 12/29/1954</t>
  </si>
  <si>
    <t>A3531</t>
  </si>
  <si>
    <t>Records of the Wing Sun Funeral Parlor in San Francisco, California, 1929 - 12/28/1949</t>
  </si>
  <si>
    <t>A3533</t>
  </si>
  <si>
    <t>Passenger Lists of Vessels Arriving at San Juan, Puerto Rico, 10/07/1901 - 06/30/1948</t>
  </si>
  <si>
    <t>A3534</t>
  </si>
  <si>
    <t>Passenger Manifests of Airplanes Arriving at San Juan, Puerto Rico, 12/1/1957 - 11/16/1969</t>
  </si>
  <si>
    <t>A3536</t>
  </si>
  <si>
    <t>Passenger Lists of Vessels Arriving at Montreal, Quebec, Canada, 5/24/1956 - 11/22/1957</t>
  </si>
  <si>
    <t>A3537</t>
  </si>
  <si>
    <t>Passenger Lists of Vessels Arriving at Quebec City, Quebec, Canada, 5/2/1957 - 7/31/1958</t>
  </si>
  <si>
    <t>A3538</t>
  </si>
  <si>
    <t>Passenger and Crew Lists of Vessels Arriving at Neah Bay, Washington, 1/24/1954 - 9/6/1969</t>
  </si>
  <si>
    <t>A3539</t>
  </si>
  <si>
    <t>Crew Lists of Vessels Arriving at Newport, Oregon, 11/9/1960 - 6/26/1962</t>
  </si>
  <si>
    <t>A3540</t>
  </si>
  <si>
    <t>Passenger and Crew Manifests of Airplanes Arriving at Nogales, Arizona, 2/16/1958 - 6/8/1964</t>
  </si>
  <si>
    <t>A3541</t>
  </si>
  <si>
    <t>Passenger and Crew Manifests of Airplanes Arriving at Omaha, Nebraska, 12/8/1958 - 10/21/1967</t>
  </si>
  <si>
    <t>A3542</t>
  </si>
  <si>
    <t>Passenger and Crew Lists of Vessels and Airplanes Arriving at Pelican, Alaska, 5/19/1956 - 10/16/1956</t>
  </si>
  <si>
    <t>A3543</t>
  </si>
  <si>
    <t>Passenger and Crew Manifests of Airplanes Arriving at Philadelphia, Pennsylvania, 12/31/1957 - 08/16/1969</t>
  </si>
  <si>
    <t>A3544</t>
  </si>
  <si>
    <t>Passenger and Crew Manifests of Airplanes Arriving at Pittsburg, Pennsylvania, 02/16/1958 - 03/27/1968</t>
  </si>
  <si>
    <t>A3545</t>
  </si>
  <si>
    <t>Crew Lists of Vessels Arriving at Point Roberts, Washington, 12/1/1954 - 12/2/1954</t>
  </si>
  <si>
    <t>A3546</t>
  </si>
  <si>
    <t>Passenger and Crew Lists of Vessels Arriving at Point Wells, Washington, 12/2/1954 - 1/29/1956</t>
  </si>
  <si>
    <t>A3547</t>
  </si>
  <si>
    <t>Crew Lists of Vessels Arriving at Port Gamble, Washington, 1/23/1955 - 6/24/1963</t>
  </si>
  <si>
    <t>A3548</t>
  </si>
  <si>
    <t>Passenger and Military Personnel Lists of Airplanes Arriving at Ramey Air Force Base, Puerto Rico, 6/2/1958 - 7/28/1969</t>
  </si>
  <si>
    <t>A3551</t>
  </si>
  <si>
    <t>Passenger and Crew Manifests of Airplanes Arriving at Saint Petersburg, Florida, 5/21/1946 - 1/1/1951</t>
  </si>
  <si>
    <t>A3552</t>
  </si>
  <si>
    <t>Passenger and Crew Manifests of Airplanes Arriving at San Francisco, California, 12/1/1957 - 11/10/1969</t>
  </si>
  <si>
    <t>A3553</t>
  </si>
  <si>
    <t>Passenger and Crew Lists of Vessels Arriving at Skagway, Alaska, 6/7/1943 - 12/4/1978</t>
  </si>
  <si>
    <t>A3555</t>
  </si>
  <si>
    <t>Passenger and Crew Manifests of Airplanes Arriving at Syracuse, New York, 11/26/1958 - 10/20/1969</t>
  </si>
  <si>
    <t>A3557</t>
  </si>
  <si>
    <t>Crew Lists of Vessels Arriving at Aberdeen, Washington, 12/7/1954 - 12/27/1981</t>
  </si>
  <si>
    <t>A3558</t>
  </si>
  <si>
    <t>Passenger and Crew Manifests of Airplanes and Vessels Arriving at Aguadilla, Puerto Rico, 12/1954 - 4/1957</t>
  </si>
  <si>
    <t>A3559</t>
  </si>
  <si>
    <t>Passenger and Crew Manifests of Capitol Airways Flight 162 Arriving at Akron, Ohio, 8/6/1959 - 8/6/1959</t>
  </si>
  <si>
    <t>A3560</t>
  </si>
  <si>
    <t>Manifests of Alien Arrivals at Ambrose, Antler, Carbury, Fortuna, Noonan, Northgate, Portal, Sherwood, and Westhope, North Dakota, January 1921-December 1952.</t>
  </si>
  <si>
    <t>A3561</t>
  </si>
  <si>
    <t>Passenger and Crew Lists of Vessels Arriving at Corpus Christi, Texas, and Vicinity, 1/1959 - 12/1981</t>
  </si>
  <si>
    <t>A3568</t>
  </si>
  <si>
    <t>Crew Lists of Vessels Arriving at Honolulu, Hawaii, October 1902-January 1908</t>
  </si>
  <si>
    <t>A3569</t>
  </si>
  <si>
    <t>Crew Lists of Vessels Arriving at Honolulu, Hawaii, August 1912-November 1954</t>
  </si>
  <si>
    <t>A3571</t>
  </si>
  <si>
    <t>Passenger and Crew Lists of Vessels and Airplanes Arriving at Honolulu, Hawaii, January 1954-December 1958</t>
  </si>
  <si>
    <t>A3573</t>
  </si>
  <si>
    <t>Passenger and Crew Manifests of Airplanes Arriving at Honolulu, Hawaii, 12/1957 - 9/1969</t>
  </si>
  <si>
    <t>A3574</t>
  </si>
  <si>
    <t>Passenger and Crew Lists of Vessels and Airplanes Departing from Honolulu, Hawaii, compiled 12/1954 - 05/1971</t>
  </si>
  <si>
    <t>A3575</t>
  </si>
  <si>
    <t>Passenger and Crew Manifests of Airplanes Departing from Honolulu, Hawaii to Various Points Other than the United States including Auckland, New Zealand; the Fiji Islands; Guam; the Midway Islands; the Philippines; Tokyo, Japan; and Vancouver, British Columbia, compiled 09/1954 - 11/1954</t>
  </si>
  <si>
    <t>A3576</t>
  </si>
  <si>
    <t>Passenger and Crew Manifests of Royal Air Force Transport Command Aircraft Departing from Honolulu, Hawaii, 2/1957 - 10/1957</t>
  </si>
  <si>
    <t>A3577</t>
  </si>
  <si>
    <t>Passenger and Crew Manifests of Airplanes Departing from Honolulu, Hawaii, 12/1957 - 9/1969</t>
  </si>
  <si>
    <t>A3578</t>
  </si>
  <si>
    <t>Passenger and Crew Lists of Vessels Arriving at Kalama, Washington, 4/14/1958 - 4/15/1958</t>
  </si>
  <si>
    <t>A3579</t>
  </si>
  <si>
    <t>Crew Lists of Vessels Arriving at Key West, Florida</t>
  </si>
  <si>
    <t>A3580</t>
  </si>
  <si>
    <t>Passenger and Crew Manifests of Airplanes Arriving at Key West, Florida, 2/17/1946 - 11/6/1969</t>
  </si>
  <si>
    <t>A3582</t>
  </si>
  <si>
    <t>Crew Lists of Vessels Arriving at San Diego, California</t>
  </si>
  <si>
    <t>A3584</t>
  </si>
  <si>
    <t>Manifests of Ship Passengers Arriving at San Juan, Puerto Rico, in Transit to Other Destinations, 07/01/1923 - 06/30/1947</t>
  </si>
  <si>
    <t>A3585</t>
  </si>
  <si>
    <t>Crew Lists of Vessels Arriving at San Juan, Puerto Rico</t>
  </si>
  <si>
    <t>A3588</t>
  </si>
  <si>
    <t>Passenger Lists of Vessels Departing from Agana, Guam, 2/16/1951 - 11/1965</t>
  </si>
  <si>
    <t>A3589</t>
  </si>
  <si>
    <t>Passenger Manifests of Airplanes Departing from Agana, Guam, 3/7/1950 - 6/9/1969</t>
  </si>
  <si>
    <t>A3590</t>
  </si>
  <si>
    <t>Passenger and Crew Lists of Vessels Arriving at Astoria, Oregon, 12/1954 - 2/1981</t>
  </si>
  <si>
    <t>A3592</t>
  </si>
  <si>
    <t>Indexes to Vessels Arriving at Baltimore, Maryland, 7/1899 - 12/1955</t>
  </si>
  <si>
    <t>A3593</t>
  </si>
  <si>
    <t>Passenger and Crew Lists of Vessels Arriving at Baltimore, Maryland, 5/8/1957 - 6/30/1983</t>
  </si>
  <si>
    <t>A3594</t>
  </si>
  <si>
    <t>Crew Lists of Vessels Arriving at Bangor, Washington</t>
  </si>
  <si>
    <t>A3595</t>
  </si>
  <si>
    <t>Crew Lists of Vessels Arriving at Baton Rouge, Louisiana, 01/1919 - 05/1983</t>
  </si>
  <si>
    <t>A3596</t>
  </si>
  <si>
    <t>Crew Lists of Vessels Arriving at Beaufort, South Carolina, 10/1958 - 11/1963</t>
  </si>
  <si>
    <t>A3597</t>
  </si>
  <si>
    <t>Crew Lists of Vessels Arriving at Bellingham, Washington, 8/3/1953 - 10/27/1981</t>
  </si>
  <si>
    <t>A3598</t>
  </si>
  <si>
    <t>Crew Lists of Vessels Arriving at Beverly, Massachusetts July-August 1955</t>
  </si>
  <si>
    <t>A3599</t>
  </si>
  <si>
    <t>Manifests of Alien Arrivals at Blaine, Washington, July 1924-October 1956.​</t>
  </si>
  <si>
    <t>A3601</t>
  </si>
  <si>
    <t>Passenger and Crew Lists of Vessels Arriving at Boothbay Harbor, Maine, 7/5/1960 - 8/2/1960</t>
  </si>
  <si>
    <t>A3602</t>
  </si>
  <si>
    <t>Passenger Lists of Vessels Departing from Yarmouth, Nova Scotia, and Arriving at Boston, Massachusetts, 6/20/1949 - 9/19/1954</t>
  </si>
  <si>
    <t>A3603</t>
  </si>
  <si>
    <t>Index to Vessels Arriving at Boston, Massachusetts, 1/4/1898 - 12/30/1932</t>
  </si>
  <si>
    <t>A3604</t>
  </si>
  <si>
    <t>Passenger Lists of Vessels Arriving at Boston, Massachusetts, 1944-1954</t>
  </si>
  <si>
    <t>A3605</t>
  </si>
  <si>
    <t>Crew Lists of Vessels Arriving at Boston, Massachusetts, 1944-1954</t>
  </si>
  <si>
    <t>A3606</t>
  </si>
  <si>
    <t>Passenger and Crew Manifests of Vessels and Airplanes Arriving at Boston, Massachusetts, 12/1/1954 - 6/26/1983</t>
  </si>
  <si>
    <t>A3607</t>
  </si>
  <si>
    <t>Passenger and Crew Manifests of Airplanes Arriving at Boston, Massachusetts, 1945-1954</t>
  </si>
  <si>
    <t>A3608</t>
  </si>
  <si>
    <t>Passenger and Crew Manifests of Airplanes Arriving at Boston, Massachusetts, 12/1957 - 11/1969</t>
  </si>
  <si>
    <t>A3609</t>
  </si>
  <si>
    <t>Passenger Manifests of Airplanes Arriving at Borinquen Army Air Field, Aguadilla, Puerto Rico, 12/1944 - 1/1946</t>
  </si>
  <si>
    <t>A3611</t>
  </si>
  <si>
    <t>Crew Lists of Qantas Airplanes Arriving at Agana, Guam, 3/3/1953 - 8/1/1954</t>
  </si>
  <si>
    <t>A3612</t>
  </si>
  <si>
    <t>Manifests of Aliens Arriving at Halifax, Nova Scotia, 7/1924 - 12/1952</t>
  </si>
  <si>
    <t>A3613</t>
  </si>
  <si>
    <t>Passenger Lists of Vessels Arriving at Halifax, Nova Scotia, 2/1958 - 3/1959</t>
  </si>
  <si>
    <t>A3614</t>
  </si>
  <si>
    <t>Passenger and Crew Manifests of Airplanes Arriving at Honolulu, Hawaii, February 1937-November 1954</t>
  </si>
  <si>
    <t>A3615</t>
  </si>
  <si>
    <t>Passenger and Crew Manifests of Airplanes Departing from Honolulu, Hawaii for the United States, compiled 09/1954 - 11/1954</t>
  </si>
  <si>
    <t>A3617</t>
  </si>
  <si>
    <t>Passenger and Crew Manifests of Airplanes Arriving at Jacksonville, Florida, 11/16/1946 - 11/2/1969</t>
  </si>
  <si>
    <t>A3618</t>
  </si>
  <si>
    <t>U.S. Citizen Passenger Lists of Vessels Arriving at Key West, Florida, 1907-1949</t>
  </si>
  <si>
    <t>A3619</t>
  </si>
  <si>
    <t>Passenger and Crew Manifests of Airplanes Arriving at Los Angeles, California, 12/1/1957 - 11/3/1969</t>
  </si>
  <si>
    <t>A3621</t>
  </si>
  <si>
    <t>Passenger Lists of Vessels Arriving at Miami, Florida, 1899-1948</t>
  </si>
  <si>
    <t>A3622</t>
  </si>
  <si>
    <t>U.S. Citizen Passenger Lists of Vessels Arriving at Miami, Florida, 1/1904 - 1/1949</t>
  </si>
  <si>
    <t>A3623</t>
  </si>
  <si>
    <t>U.S. Citizen Passenger Lists of Vessels Arriving at Mobile, Alabama, 8/1916 - 3/1948</t>
  </si>
  <si>
    <t>A3624</t>
  </si>
  <si>
    <t>Passenger Lists of Vessels Arriving at Mobile, Alabama, April 1904 - June 1948</t>
  </si>
  <si>
    <t>A3625</t>
  </si>
  <si>
    <t>Crew Lists of Vessels Arriving at Mobile, Alabama</t>
  </si>
  <si>
    <t>A3626</t>
  </si>
  <si>
    <t>Shipmaster Statements Regarding Changes in Crew of Vessels Departing from Mobile, Alabama, 1/1925 - 12/1931</t>
  </si>
  <si>
    <t>Shipmaster Statements Regarding Changes in Crew of Vessels Departing from Mobile, Alabama, 1/1925 - 12/11/1931</t>
  </si>
  <si>
    <t>A3627</t>
  </si>
  <si>
    <t>Passenger and Crew Manifests of Airplanes Arriving at Mobile, Alabama, 5/1946 - 10/1968</t>
  </si>
  <si>
    <t>A3628</t>
  </si>
  <si>
    <t>Passenger and Crew Manifests of Vessels and Airplanes Arriving at Mobile, Alabama, 12/1954 - 3/1985</t>
  </si>
  <si>
    <t>A3630</t>
  </si>
  <si>
    <t>Passenger and Crew Manifests of Airplanes Arriving at Norfolk, Virginia, 1957-1963</t>
  </si>
  <si>
    <t>A3631</t>
  </si>
  <si>
    <t>Passenger and Crew Lists of Vessels Arriving at Panama City, Florida, 12/1/1954 - 12/28/1976</t>
  </si>
  <si>
    <t>A3634</t>
  </si>
  <si>
    <t>Passenger and Crew Lists of Vessels Arriving at Pascagoula, Mississippi, 4/21/1955 - 10/31/1981</t>
  </si>
  <si>
    <t>A3641</t>
  </si>
  <si>
    <t>Alien and Citizen Passenger Lists of Vessels Arriving at Brunswick, Georgia, 11/1904 - 11/1939</t>
  </si>
  <si>
    <t>A3642</t>
  </si>
  <si>
    <t>Passenger and Crew Lists of Vessels Arriving at Brunswick, Georgia, 6/1956 - 11/1976</t>
  </si>
  <si>
    <t>A3644</t>
  </si>
  <si>
    <t>Passenger and Crew Manifests of Airplanes Arriving at Buffalo, New York, 7/1958 - 11/1969</t>
  </si>
  <si>
    <t>A3647</t>
  </si>
  <si>
    <t>U.S. Citizen Passenger Lists of Vessels Arriving at Charleston, South Carolina, 11/1919 - 12/1948</t>
  </si>
  <si>
    <t>A3651</t>
  </si>
  <si>
    <t>Crew Lists of Vessels Arriving at Haines, Juneau, and Skagway, Alaska, 8/1955 - 12/1981</t>
  </si>
  <si>
    <t>A3653</t>
  </si>
  <si>
    <t>Passenger and Crew Manifests of Airplanes Arriving at Isla Grande, Puerto Rico, 6/1960 - 11/1969</t>
  </si>
  <si>
    <t>A3654</t>
  </si>
  <si>
    <t>U.S. Citizen Passenger List of Vessels Arriving at Jacksonville, Florida, 1920-1948</t>
  </si>
  <si>
    <t>A3655</t>
  </si>
  <si>
    <t>Registers of Vessels Arriving at and Departing from Mobile, Alabama, 7/1937 - 12/1956</t>
  </si>
  <si>
    <t>A3656</t>
  </si>
  <si>
    <t>Passenger and Crew Lists of Vessels Arriving at Newport News, Virginia, 1/26/1904 - 6/29/1959</t>
  </si>
  <si>
    <t>A3658</t>
  </si>
  <si>
    <t>Passenger Lists of Vessels Arriving at New Orleans, Louisiana, 1/1/1946 - 6/30/1948</t>
  </si>
  <si>
    <t>A3659</t>
  </si>
  <si>
    <t>Crew Lists of Vessels Arriving at New Orleans, Louisiana, 1/1/1946 - 11/30/1954</t>
  </si>
  <si>
    <t>A3660</t>
  </si>
  <si>
    <t>Passenger and Crew Manifests of Airplanes Arriving at New Orleans, Louisiana , 12/1/1957 - 11/8/1969</t>
  </si>
  <si>
    <t>A3661</t>
  </si>
  <si>
    <t>Passenger and Crew Manifests of Airplanes Arriving at Niagara Falls, New York, 5/6/1961 - 10/26/1969</t>
  </si>
  <si>
    <t>A3662</t>
  </si>
  <si>
    <t>Passenger and Crew Lists of Vessels Arriving at Norfolk, Virginia, 1/1/1920 - 11/6/1954</t>
  </si>
  <si>
    <t>A3664</t>
  </si>
  <si>
    <t>Passenger and Crew Lists of Vessels Arriving at Norfolk, Virginia, 1954-1963</t>
  </si>
  <si>
    <t>A3665</t>
  </si>
  <si>
    <t>Passenger Manifests of Airplanes Arriving at, or Departing from, New York, New York, 5/1/1959 - 11/7/1969</t>
  </si>
  <si>
    <t>A3667</t>
  </si>
  <si>
    <t>Crew Lists of Vessels Arriving at Ponce, Puerto Rico, 12/1/1954 - 4/30/1983</t>
  </si>
  <si>
    <t>A3668</t>
  </si>
  <si>
    <t>Crew Lists of Vessels Arriving at Port Everglades, Florida, 12/1/1939 - 11/30/1954</t>
  </si>
  <si>
    <t>A3669</t>
  </si>
  <si>
    <t>Crew Lists of Vessels Arriving at Portland, Maine, May 1917 - November 1954</t>
  </si>
  <si>
    <t>A3670</t>
  </si>
  <si>
    <t>Passenger and Crew Lists of Vessels Arriving at Portland, Maine, 12/1/1954 - 8/31/1982</t>
  </si>
  <si>
    <t>A3671</t>
  </si>
  <si>
    <t>Passenger Manifests and Crew Lists of Vessels Arriving at Portland, Oregon, 12/4/1954 - 12/29/1981</t>
  </si>
  <si>
    <t>A3673</t>
  </si>
  <si>
    <t>Crew Lists of Vessels Arriving at Salem, Massachusetts, 1/20/1955 - 3/12/1957</t>
  </si>
  <si>
    <t>A3676</t>
  </si>
  <si>
    <t>Crew Lists of Vessels Arriving at Somerset, Massachusetts, 10/30/1955 - 1/16/1957</t>
  </si>
  <si>
    <t>A3677</t>
  </si>
  <si>
    <t>Passenger Lists of Vessels Arriving at Vanceboro, Maine, 12/29/1954 - 4/13/1956</t>
  </si>
  <si>
    <t>A3679</t>
  </si>
  <si>
    <t>Index to Chinese Exclusion Act Case Files, Immigration and Naturalization Service Office, Helena, Montana, ca. 1899-ca. 1933.</t>
  </si>
  <si>
    <t>A3681</t>
  </si>
  <si>
    <t>Passenger and Crew Lists of Vessels Arriving at New Orleans, Louisiana, 12/1/1954 - 11/30/1983</t>
  </si>
  <si>
    <t>A3682</t>
  </si>
  <si>
    <t>Crew Lists of Vessels Arriving at Philadelphia, Pennsylvania, 1940-1957.</t>
  </si>
  <si>
    <t>A3683</t>
  </si>
  <si>
    <t>Manifests of Alien Arrivals at Ranier and International Falls, Minnesota, January 1909-December 1952</t>
  </si>
  <si>
    <t>A3684</t>
  </si>
  <si>
    <t>Passenger List of the General W. H. Gordon Arriving at San Francisco, California, 5/5/1949 - 5/5/1949</t>
  </si>
  <si>
    <t>A3686</t>
  </si>
  <si>
    <t>Passenger and Crew Lists of Vessels Arriving at Pensacola, Florida, 12/9/1954 - 2/26/1984</t>
  </si>
  <si>
    <t>A3687</t>
  </si>
  <si>
    <t>Shipmaster Statements Regarding Changes in Crew of Vessels Departing from Pensacola, FL, 1907-1939</t>
  </si>
  <si>
    <t>A3688</t>
  </si>
  <si>
    <t>Crew Lists of the Mayflower Arriving at Provincetown, Massachusetts, 6/12/1957 - 6/12/1957</t>
  </si>
  <si>
    <t>A3689</t>
  </si>
  <si>
    <t>Crew Lists of Vessels Arriving at Richmond, Virginia, 3/24/1958 - 7/13/1959</t>
  </si>
  <si>
    <t>A3690</t>
  </si>
  <si>
    <t>Manifests of Alien Arrivals at Scobey, Montana, 1/1924 - 12/1950</t>
  </si>
  <si>
    <t>A3691</t>
  </si>
  <si>
    <t>Index to Aliens, Not Including Filipinos, East Indians, and Chinese, Arriving by Vessel or at the Land Border at Seattle, Washington, 1890 - 1924</t>
  </si>
  <si>
    <t>A3692</t>
  </si>
  <si>
    <t>Passenger Lists of Vessels Arriving at Seattle, Washington, 8/29/1890 - 5/24/1906</t>
  </si>
  <si>
    <t>A3694</t>
  </si>
  <si>
    <t>Crew Lists of the Eureka Arriving at Seattle, Washington, 9/22/1911 - 8/14/1949</t>
  </si>
  <si>
    <t>A3695</t>
  </si>
  <si>
    <t>Passenger Manifests of Airplanes Departing from Philadelphia, Pennsylvania, 12/13/1957 - 10/1/1969</t>
  </si>
  <si>
    <t>A3696</t>
  </si>
  <si>
    <t>Passenger and Crew Manifests of Airplanes Arriving at Seattle, Washington, 12/1/1957 - 11/6/1969</t>
  </si>
  <si>
    <t>A3703</t>
  </si>
  <si>
    <t>Passenger and Crew Manifests of Airplanes and Vessels Arriving at Aguadilla, Puerto Rico</t>
  </si>
  <si>
    <t>A3707</t>
  </si>
  <si>
    <t>Passenger and Crew Manifests of Airplanes Departing from Anchorage, Alaska, 7/1/1948 - 11/30/1957</t>
  </si>
  <si>
    <t>A3715</t>
  </si>
  <si>
    <t>Crew Lists of Vessels Arriving at Chicago, Illinois</t>
  </si>
  <si>
    <t>A3716</t>
  </si>
  <si>
    <t>Passenger and Crew Manifests of Airplanes Arriving at Chicago, Illinois, 9/30/1943 - 11/29/1954</t>
  </si>
  <si>
    <t>A3718</t>
  </si>
  <si>
    <t>Passenger Lists of Vessels Arriving at Christiansted, Saint Croix, U.S. Virgin Islands, 10/1885 - 8/1930</t>
  </si>
  <si>
    <t>A3719</t>
  </si>
  <si>
    <t>Passenger and Crew Lists of Vessels Arriving at Christiansted, Saint Croix, U.S. Virgin Islands, 12/1954 - 12/1981</t>
  </si>
  <si>
    <t>A3722</t>
  </si>
  <si>
    <t>Passenger and Crew Lists of Vessels Arriving at Coos Bay, Oregon, 12/1954 - 12/1981</t>
  </si>
  <si>
    <t>A3723</t>
  </si>
  <si>
    <t>Passenger and Crew Lists of Vessels Arriving at Cruz Bay, Saint John, U.S. Virgin Islands, 12/1954 - 4/1983</t>
  </si>
  <si>
    <t>A3724</t>
  </si>
  <si>
    <t>Passenger and Crew Manifests of Airplanes Arriving at Culebra, Puerto Rico, 6/1961 - 6/1962</t>
  </si>
  <si>
    <t>A3727</t>
  </si>
  <si>
    <t>Passenger and Crew Manifests of Airplanes Arriving at Denver, Colorado</t>
  </si>
  <si>
    <t>A3733</t>
  </si>
  <si>
    <t>Crew Lists of Vessels Arriving at Everett, Massachusetts, 3/1955 - 12/1955</t>
  </si>
  <si>
    <t>A3741</t>
  </si>
  <si>
    <t>Passenger and Crew Lists of Vessels Arriving at Fajardo, Puerto Rico, 12/1954 - 4/1980</t>
  </si>
  <si>
    <t>A3744</t>
  </si>
  <si>
    <t>Passenger and Crew Manifests of Airplanes Arriving at and Departing from Fargo, North Dakota, 6/1958 - 8/1959</t>
  </si>
  <si>
    <t>A3750</t>
  </si>
  <si>
    <t>Passenger Lists in Danish of Vessels Arriving at Frederiksted, Saint Croix, U.S. Virgin Islands, 2/1907 - 5/1921</t>
  </si>
  <si>
    <t>A3751</t>
  </si>
  <si>
    <t>Passenger Lists of Vessels Arriving at Frederiksted, Saint Croix, U.S. Virgin Islands, 1907-1921</t>
  </si>
  <si>
    <t>A3752</t>
  </si>
  <si>
    <t>Passenger and Crew Lists of Vessels Arriving at Frederiksted, Saint Croix, U.S. Virgin Islands, 4/1957 - 10/1967</t>
  </si>
  <si>
    <t>A3756</t>
  </si>
  <si>
    <t>Passenger Lists of Vessels Departing from Galveston, Texas, 12/1954 - 1/1972</t>
  </si>
  <si>
    <t>A3760</t>
  </si>
  <si>
    <t>Crew Lists of Vessels Arriving at Gloucester, Massachusetts, 1/5/1944 - 9/30/1977</t>
  </si>
  <si>
    <t>Coming Soon - Partial</t>
  </si>
  <si>
    <t>A3763</t>
  </si>
  <si>
    <t>Passenger Lists of Vessels Arriving at Gulfport, Mississippi, 8/27/1904 - 8/28/1954</t>
  </si>
  <si>
    <t>A3764</t>
  </si>
  <si>
    <t>Passenger and Crew Lists of Vessels Arriving at Gulfport, Mississippi, 12/25/1954 - 7/15/1975</t>
  </si>
  <si>
    <t>A3766</t>
  </si>
  <si>
    <t>Passenger Lists of Vessels Departing from Halifax, Nova Scotia, and St. John's, Canada, 1/17/1958 - 1/1/1960</t>
  </si>
  <si>
    <t>A3768</t>
  </si>
  <si>
    <t>Passenger and Crew Lists of Vessels Arriving at Hartford, Connecticut, 2/26/1959 - 2/29/1984</t>
  </si>
  <si>
    <t>A3769</t>
  </si>
  <si>
    <t>Passenger Lists of Vessels Departing from Hartford, Connecticut, 8/1/1957 - 8/17/1969</t>
  </si>
  <si>
    <t>A3770</t>
  </si>
  <si>
    <t>Passenger and Crew Manifests of Airplanes Arriving at Hartford, Connecticut, 12/1/1957 - 11/6/1969</t>
  </si>
  <si>
    <t>A3771</t>
  </si>
  <si>
    <t>Passenger and Crew Manifests of Airplanes Departing from Hartford, Connecticut, 3/4/1947 - 9/24/1969</t>
  </si>
  <si>
    <t>A3774</t>
  </si>
  <si>
    <t>Passenger and Crew Manifests of Airplanes Departing from Isla Grande, Puerto Rico, 8/1960 - 10/1969</t>
  </si>
  <si>
    <t>A3782</t>
  </si>
  <si>
    <t>Passenger Lists of Vessels Departing from Mayaguez, Puerto Rico, 12/10/1954 - 6/21/1971</t>
  </si>
  <si>
    <t>A3788</t>
  </si>
  <si>
    <t>Passenger and Crew Lists of Vessels Departing from Morehead City, North Carolina, 11/1957 - 10/1971</t>
  </si>
  <si>
    <t>A3789</t>
  </si>
  <si>
    <t>Passenger Lists of Vessels Arriving at Montreal, Quebec, Canada</t>
  </si>
  <si>
    <t>A3790</t>
  </si>
  <si>
    <t>Shipmaster Statements Regarding Changes in Crew of Vessels Departing from New York, NY</t>
  </si>
  <si>
    <t>A3791</t>
  </si>
  <si>
    <t>Passenger and Crew Manifests of Airplanes Arriving at Montreal, Quebec, Canada, 01/1958 - 10/1960</t>
  </si>
  <si>
    <t>A3793</t>
  </si>
  <si>
    <t>Passenger Manifests of Airplanes Departing from New Haven, Connecticut, 12/1/1954 - 5/31/1955</t>
  </si>
  <si>
    <t>A3795</t>
  </si>
  <si>
    <t>Passenger Lists of Vessels Departing from Newport News, Virginia, 1/2/1945 - 6/30/1959</t>
  </si>
  <si>
    <t>A3796</t>
  </si>
  <si>
    <t>Passenger and Crew Manifests of Airplanes Departing from Nogales, Arizona, 2/20/1958 - 12/11/1958</t>
  </si>
  <si>
    <t>A3797</t>
  </si>
  <si>
    <t>Passenger and Crew Manifests of Airplanes Departing from Omaha, Nebraska, 12/4/1958 - 10/31/1967</t>
  </si>
  <si>
    <t>A3804</t>
  </si>
  <si>
    <t>Passenger and Crew Manifests of Airplanes Arriving at Saint Paul, Minnesota, 12/22/1957 - 8/11/1967</t>
  </si>
  <si>
    <t>Passenger Lists of Vessels Arriving at Saint Thomas, U.S. Virgin Islands, 7/16/1907 - 5/12/1923</t>
  </si>
  <si>
    <t>A3806</t>
  </si>
  <si>
    <t>Crew Lists of Vessels Arriving at Saint Thomas, U.S. Virgin Islands, 11/9/1931 - 11/30/1954</t>
  </si>
  <si>
    <t>A3807</t>
  </si>
  <si>
    <t>Passenger Manifests of Airplanes Arriving at Saint Thomas, U.S. Virgin Islands, 3/15/1930 - 6/16/1948</t>
  </si>
  <si>
    <t>A3808</t>
  </si>
  <si>
    <t>Passenger and Crew Manifests of Airplanes Arriving at Saint Thomas, U.S. Virgin Islands, 12/5/1957 - 10/23/1969</t>
  </si>
  <si>
    <t>A3809</t>
  </si>
  <si>
    <t>Passenger and Crew Lists of Vessels Arriving at San Luis Obispo, California, 12/5/1954 - 10/19/1967</t>
  </si>
  <si>
    <t>A3812</t>
  </si>
  <si>
    <t>Crew Lists of Vessels Arriving at South Haven, Michigan, 5/4/1957 - 10/28/1959</t>
  </si>
  <si>
    <t>A3813</t>
  </si>
  <si>
    <t>Passenger and Crew Lists of Vessels Arriving at Tacoma, Washington, 8/15/1953 - 11/19/1956</t>
  </si>
  <si>
    <t>A3814</t>
  </si>
  <si>
    <t>Passenger and Crew Lists of Vessels Arriving at Tacoma, Washington, 11/20/1956 - 12/31/1981</t>
  </si>
  <si>
    <t>A3817</t>
  </si>
  <si>
    <t>U.S. Citizen Passenger Lists of Vessels Arriving at Tampa, Florida, 2/13/1907 - 4/24/1949</t>
  </si>
  <si>
    <t>A3818</t>
  </si>
  <si>
    <t>Alien Crew Lists of Vessels Arriving at Tampa, Florida, 1/1/1904 - 11/30/1954</t>
  </si>
  <si>
    <t>A3819</t>
  </si>
  <si>
    <t>Alien Passenger Lists of Vessels Arriving at Tampa, Florida, 1/1/1946 - 6/10/1949</t>
  </si>
  <si>
    <t>A3820</t>
  </si>
  <si>
    <t>Passenger and Crew Lists of Vessels and Airplanes Arriving at Tampa, Florida, 12/1/1954 - 3/3/1957</t>
  </si>
  <si>
    <t>A3822</t>
  </si>
  <si>
    <t>Passenger Manifests and Crew Lists of Vessels Arriving at Toledo, Ohio, 4/1959 - 12/1981</t>
  </si>
  <si>
    <t>A3823</t>
  </si>
  <si>
    <t>Passenger Manifests of Airplanes Arriving at Toronto, Ontario, Canada, 1/7/1958 - 8/26/1958</t>
  </si>
  <si>
    <t>A3824</t>
  </si>
  <si>
    <t>Passenger and Crew Manifests of Airplanes Arriving at Washington, DC, July 1942-September 1948</t>
  </si>
  <si>
    <t>A3825</t>
  </si>
  <si>
    <t>Alien Crew Lists of Vessels Arriving at Washington, DC, 6/3/1954 - 9/18/1954</t>
  </si>
  <si>
    <t>A3826</t>
  </si>
  <si>
    <t>Passenger and Crew Lists of Vessels and Airplanes Arriving at Washington, DC, 12/1/1954 - 12/19/1974</t>
  </si>
  <si>
    <t>A3828</t>
  </si>
  <si>
    <t>Passenger Lists of Aliens and Citizens Arriving on Vessels at West Palm Beach, Florida, 9/8/1920 - 11/12/1948</t>
  </si>
  <si>
    <t>A3829</t>
  </si>
  <si>
    <t>U.S. Citizen Passenger Manifests of Vessels Arriving at West Palm Beach, Florida, 1/1/1931 - 5/13/1947</t>
  </si>
  <si>
    <t>A3830</t>
  </si>
  <si>
    <t>Crew Lists of Vessels Arriving at West Palm Beach, Florida, 1/1/1925 - 12/31/1945</t>
  </si>
  <si>
    <t>A3831</t>
  </si>
  <si>
    <t>Crew Lists of Vessels Arriving at West Palm Beach, Florida, 4/2/1946 - 9/5/1954</t>
  </si>
  <si>
    <t>A3834</t>
  </si>
  <si>
    <t>Passenger and Crew Manifests of Airplanes Arriving at Westover Air Force Base, Chicopee, Massachusetts, 1/28/1946 - 6/28/1955</t>
  </si>
  <si>
    <t>A3836</t>
  </si>
  <si>
    <t>Passenger and Crew Lists of Vessels Arriving at Woods Hole, Massachusetts, 3/9/1955 - 9/19/1968</t>
  </si>
  <si>
    <t>A3837</t>
  </si>
  <si>
    <t>Crew Lists of Vessels Arriving at Yorktown, Virginia, 3/22/1957 - 12/27/1973</t>
  </si>
  <si>
    <t>A3842</t>
  </si>
  <si>
    <t>Passenger and Crew Manifests of Airplanes Departing from Anchorage, Alaska, 12/1/1957 - 10/31/1969</t>
  </si>
  <si>
    <t>A3843</t>
  </si>
  <si>
    <t>Passenger and Crew Lists of Vessels and Airplanes Departing from Baltimore, Maryland, 12/7/1954 - 8/31/1978</t>
  </si>
  <si>
    <t>A3844</t>
  </si>
  <si>
    <t>Passenger and Crew Manifests of Airplanes Departing from Baltimore, Maryland, 11/17/1937 - 1/5/1969</t>
  </si>
  <si>
    <t>2934374, 3249884</t>
  </si>
  <si>
    <t>A3845</t>
  </si>
  <si>
    <t>Passenger Manifests of Airplanes Departing from Borinquen Field, Puerto Rico, 2/2/1946 - 2/5/1946</t>
  </si>
  <si>
    <t>A3846</t>
  </si>
  <si>
    <t>Passenger and Crew Lists of Vessels and Airplanes Departing from Boston, Massachusetts, 12/1/1954 - 11/30/1974</t>
  </si>
  <si>
    <t>A3847</t>
  </si>
  <si>
    <t>Passenger and Crew Manifests of Airplanes Departing from Boston, Massachusetts, 12/1/1957 - 11/19/1969</t>
  </si>
  <si>
    <t>A3848</t>
  </si>
  <si>
    <t>Passenger and Crew Lists of Vessels and Airplanes Departing from Brownsville, Texas, 7/28/1948 - 4/8/1968</t>
  </si>
  <si>
    <t>A3849</t>
  </si>
  <si>
    <t>Passenger and Crew Manifests of Airplanes Departing from Brownsville, Texas, 12/1957 - 12/1963</t>
  </si>
  <si>
    <t>A3851</t>
  </si>
  <si>
    <t>Passenger and Crew Manifests of Airplanes Departing from Buffalo, New York, 5/22/1958 - 10/31/1969</t>
  </si>
  <si>
    <t>A3852</t>
  </si>
  <si>
    <t>Passenger and Crew Manifests of Airplanes Departing from Burbank, California, 1/1958 - 8/1969</t>
  </si>
  <si>
    <t>A3854</t>
  </si>
  <si>
    <t>Passenger Lists of Vessels Departing from Charleston, South Carolina, 6/20/1928 - 10/24/1950</t>
  </si>
  <si>
    <t>A3855</t>
  </si>
  <si>
    <t>Passenger Manifests of Airplanes Departing from Charleston, South Carolina, 12/1/1957 - 10/11/1969</t>
  </si>
  <si>
    <t>A3856</t>
  </si>
  <si>
    <t>Passenger Lists of Vessels and Airplanes Departing from Charleston, South Carolina, 12/18/1954 - 6/6/1974</t>
  </si>
  <si>
    <t>A3857</t>
  </si>
  <si>
    <t>Passenger and Crew Lists of Vessels and Airplanes Departing from Chicago, Illinois, 12/1/1954 - 9/10/1968</t>
  </si>
  <si>
    <t>A3858</t>
  </si>
  <si>
    <t>Passenger and Crew Manifests of Airplanes Departing from Chicago, Illinois, 11/19/1945 - 11/30/1954</t>
  </si>
  <si>
    <t>A3859</t>
  </si>
  <si>
    <t>Passenger Manifests of Airplanes Departing from Chicago, Illinois, 12/1/1957 - 10/25/1969</t>
  </si>
  <si>
    <t>A3860</t>
  </si>
  <si>
    <t>Passenger Lists of Vessels Departing from Christiansted, Saint Croix, U.S. Virgin Islands, 12/8/1954 - 11/9/1980</t>
  </si>
  <si>
    <t>A3862</t>
  </si>
  <si>
    <t>Passenger and Crew Lists of Vessels and Airplanes Departing from Cleveland, Ohio, 5/4/1953 - 11/1/1970</t>
  </si>
  <si>
    <t>A3866</t>
  </si>
  <si>
    <t>Passenger Lists of Vessels Departing from Cruz Bay, Saint John, U.S. Virgin Islands, 1954-1982</t>
  </si>
  <si>
    <t>A3868</t>
  </si>
  <si>
    <t>Passenger Manifests of Airplanes Departing from Del Rio, Texas</t>
  </si>
  <si>
    <t>A3870</t>
  </si>
  <si>
    <t>Passenger and Crew Manifests of Airplanes and Vessels Departing from Detroit, Michigan, 12/2/1954 - 5/7/1970</t>
  </si>
  <si>
    <t>A3871</t>
  </si>
  <si>
    <t>Passenger and Crew Manifests of Airplanes Departing from Detroit, Michigan, 6/18/1947 - 10/5/1969</t>
  </si>
  <si>
    <t>A3874</t>
  </si>
  <si>
    <t>Passenger and Crew Lists of Vessels and Airplanes Departing from Frederiksted, Saint Croix, U.S. Virgin Islands, 12/1954 - 8/13/1967</t>
  </si>
  <si>
    <t>A3875</t>
  </si>
  <si>
    <t>Passenger and Crew Manifests of Vessels and Airplanes Departing From Frederiksted, Saint Croix, U.S. Virgin Islands, 12/7/1957 - 10/13/1969</t>
  </si>
  <si>
    <t>A3876</t>
  </si>
  <si>
    <t>Passenger Lists of Vessels Departing from Fajardo and Isla de Vieques, Puerto Rico, 12/3/1954 - 2/20/1965</t>
  </si>
  <si>
    <t>A3877</t>
  </si>
  <si>
    <t>Passenger and Crew Manifests of Airplanes Departing from Fajardo and Isla de Vieques, Puerto Rico, 6/1960 - 2/1963</t>
  </si>
  <si>
    <t>A3880</t>
  </si>
  <si>
    <t>Alien and Citizen Passenger Lists of Vessels Departing from Houston, Texas, 7/5/1948 - 11/22/1954</t>
  </si>
  <si>
    <t>A3881</t>
  </si>
  <si>
    <t>Passenger and Crew Manifests of Airplanes Departing from Houston, Texas, 7/2/1948 - 11/30/1954</t>
  </si>
  <si>
    <t>A3882</t>
  </si>
  <si>
    <t>Passenger and Crew Lists of Vessels and Airplanes Departing from Houston, Texas, 12/1954 - 10/26/1974</t>
  </si>
  <si>
    <t>A3883</t>
  </si>
  <si>
    <t>Passenger and Crew Manifests of Airplanes Departing from Houston, Texas, 12/1/1957 - 10/30/1969</t>
  </si>
  <si>
    <t>A3885</t>
  </si>
  <si>
    <t>Passenger Lists of Vessels and Airplanes Departing from Jacksonville, Florida, 11/21/1931 - 7/1/1978</t>
  </si>
  <si>
    <t>A3886</t>
  </si>
  <si>
    <t>Passenger Lists of Vessels Departing from Portland, Oregon, 1/4/1955 - 5/12/1970</t>
  </si>
  <si>
    <t>A3888</t>
  </si>
  <si>
    <t>Passenger Lists of Vessels Departing from Port Everglades, Florida, 10/21/1940 - 6/10/1948</t>
  </si>
  <si>
    <t>A3889</t>
  </si>
  <si>
    <t>Passenger and Crew Lists of Vessels and Airplanes Departing from Port Everglades, Florida, 12/1/1954 - 9/30/1978</t>
  </si>
  <si>
    <t>A3891</t>
  </si>
  <si>
    <t>Passenger and Crew Manifests of Airplanes Departing from Port Everglades, Florida, 7/2/1948 - 12/31/1951</t>
  </si>
  <si>
    <t>A3897</t>
  </si>
  <si>
    <t>Passenger Manifests of Airplanes Departing from Portland, Oregon, 1/1/1958 - 4/10/1969</t>
  </si>
  <si>
    <t>A3898</t>
  </si>
  <si>
    <t>Crew Lists of Vessels Departing from Saint Augustine, Florida, 10/4/1959 - 10/4/1959</t>
  </si>
  <si>
    <t>A3899</t>
  </si>
  <si>
    <t>Passenger and Crew Lists of Airplanes Departing from Saint Louis, Missouri, 10/16/1958 - 12/31/1967</t>
  </si>
  <si>
    <t>A3900</t>
  </si>
  <si>
    <t>Passenger and Crew Manifests of Airplanes Departing from Saint Paul, Minnesota, 2/24/1958 - 11/22/1968</t>
  </si>
  <si>
    <t>A3901</t>
  </si>
  <si>
    <t>Passenger Lists of Vessels Arriving at Saint Thomas, U.S. Virgin Islands, 6/5/1925 - 6/30/1948</t>
  </si>
  <si>
    <t>A3902</t>
  </si>
  <si>
    <t>Crew Lists of Vessels Arriving at San Pedro, California, 2/25/1905 - 11/30/1954</t>
  </si>
  <si>
    <t>A3903</t>
  </si>
  <si>
    <t>Passenger and Crew Lists of Vessels and Airplanes Arriving at San Pedro, California, 12/1/1954 - 9/30/1965</t>
  </si>
  <si>
    <t>A3904</t>
  </si>
  <si>
    <t>Passenger and Crew Lists of Vessels Arriving at San Pedro, California, 10/1/1955 - 11/3/1955</t>
  </si>
  <si>
    <t>A3905</t>
  </si>
  <si>
    <t>Passenger and Crew Lists of Vessels Arriving at San Pedro, California, 10/3/1959 - 10/5/1969</t>
  </si>
  <si>
    <t>A3906</t>
  </si>
  <si>
    <t>Passenger Manifests of Airplanes Arriving at San Pedro, California, 5/24/1934 - 6/30/1948</t>
  </si>
  <si>
    <t>A3907</t>
  </si>
  <si>
    <t>Passenger and Crew Manifests of Airplanes Arriving at San Pedro, California, 12/2/1957 - 12/23/1963</t>
  </si>
  <si>
    <t>A3910</t>
  </si>
  <si>
    <t>Passenger Lists of Vessels Departing from Tampa, Florida, 8/27/1927 - 1/14/1949</t>
  </si>
  <si>
    <t>A3911</t>
  </si>
  <si>
    <t>Passenger Lists of Vessels and Airplanes Departing from Tampa, Florida, 12/1/1954 - 8/17/1978</t>
  </si>
  <si>
    <t>A3913</t>
  </si>
  <si>
    <t>Passenger Manifests of Airplanes Departing from Tampa, Florida, 7/1/1948 - 12/31/1948</t>
  </si>
  <si>
    <t>A3914</t>
  </si>
  <si>
    <t>Passenger Manifests of Airplanes Departing from Tampa, Florida, 12/1/1957 - 11/3/1969</t>
  </si>
  <si>
    <t>A3916</t>
  </si>
  <si>
    <t>Passenger and Crew Manifests of Airplanes Arriving at Tucson, Arizona, 6/30/1961 - 10/31/1969</t>
  </si>
  <si>
    <t>A3917</t>
  </si>
  <si>
    <t>Passenger Lists of Vessels Arriving at Vancouver, British Columbia, Canada, 5/10/1954 - 9/29/1956</t>
  </si>
  <si>
    <t>A3918</t>
  </si>
  <si>
    <t>U.S., Passenger and Crew Lists for U.S.-Bound Vessels Arriving in Canada, 1912-1939 and 1953-1962</t>
  </si>
  <si>
    <t>A3919</t>
  </si>
  <si>
    <t>Passenger Manifests of Airplanes Arriving at Vancouver, British Columbia, Canada</t>
  </si>
  <si>
    <t>A3920</t>
  </si>
  <si>
    <t>Manifests of Canadian Pacific Airlines Passengers Arriving at Vancouver, British Columbia, Canada, 1/2/1954 - 9/29/1956</t>
  </si>
  <si>
    <t>A3921</t>
  </si>
  <si>
    <t>Passenger Lists of Vessels Departing from Wilmington, North Carolina, 9/16/1955 - 5/3/1970</t>
  </si>
  <si>
    <t>A3925</t>
  </si>
  <si>
    <t>Passenger and Crew Manifests of Airplanes Arriving at Bermuda, 12/1/1957 - 11/3/1969</t>
  </si>
  <si>
    <t>A3927</t>
  </si>
  <si>
    <t>Passenger and Crew Manifests of Airplanes Arriving at Brownsville, Texas, 4/1957 - 12/1981</t>
  </si>
  <si>
    <t>A3928</t>
  </si>
  <si>
    <t>Passenger and Crew Manifests of Airplanes Arriving at Charleston, South Carolina, 10/1946 - 10/1969</t>
  </si>
  <si>
    <t>A3930</t>
  </si>
  <si>
    <t>Passenger and Crew Lists of Vessels and Airplanes Arriving at Chicago, Illinois, 5/1918 - 12/1981</t>
  </si>
  <si>
    <t>A3931</t>
  </si>
  <si>
    <t>Passenger and Crew Manifests of Airplanes Departing from Dallas and Fort Worth, Texas, 08/1948 - 11/1957</t>
  </si>
  <si>
    <t>A3932</t>
  </si>
  <si>
    <t>Passenger and Crew Manifests of Airplanes Departing from Dallas and Fort Worth, Texas, 12/1957 - 11/1969</t>
  </si>
  <si>
    <t>A3933</t>
  </si>
  <si>
    <t>Passenger and Crew Manifests of Airplanes Arriving at Detroit, Michigan, 6/1947 - 10/1969</t>
  </si>
  <si>
    <t>A3935*</t>
  </si>
  <si>
    <t>Crew Lists of Vessels Arriving at Wiscasset, Maine, 5/30/1957 - 5/20/1968</t>
  </si>
  <si>
    <t>A3939</t>
  </si>
  <si>
    <t>Passenger Manifests of Airplanes Departing from Jacksonville, Florida, 7/8/1948 - 8/20/1969</t>
  </si>
  <si>
    <t>A3940</t>
  </si>
  <si>
    <t>Crew Lists of Vessels Arriving at Kenosha, Wisconsin</t>
  </si>
  <si>
    <t>A3942</t>
  </si>
  <si>
    <t>Passenger Lists of Vessels and Passenger and Crew Manifests of Airplanes Departing from Key West, Florida, 9/1/1927 - 10/26/1971</t>
  </si>
  <si>
    <t>A3943</t>
  </si>
  <si>
    <t>Passenger and Crew Manifests of Airplanes Departing from Key West, Florida, 7/1/1948 - 3/22/1964</t>
  </si>
  <si>
    <t>A3945</t>
  </si>
  <si>
    <t>Passenger and Crew Manifests of Airplanes Departing from Los Angeles, California, 12/1/1957 - 11/1/1969</t>
  </si>
  <si>
    <t>A3946</t>
  </si>
  <si>
    <t>Passenger and Crew Lists of Vessels and Airplanes Arriving at Miami, Florida, 12/1954 - 2/12/1983</t>
  </si>
  <si>
    <t>A3947</t>
  </si>
  <si>
    <t>Passenger Lists of Vessels Arriving and Departing from Miami and Port Everglades (Fort Lauderdale), Florida, 5/19/1959 - 11/11/1969</t>
  </si>
  <si>
    <t>A3948</t>
  </si>
  <si>
    <t>Alien and U.S. Citizen Passenger Lists of Vessels Departing from Miami, Florida, 9/3/1927 - 6/28/1948</t>
  </si>
  <si>
    <t>A3949</t>
  </si>
  <si>
    <t>Passenger and Crew Lists of Vessels and Airplanes Departing from Miami, Florida, 1/1955 - 12/26/1982</t>
  </si>
  <si>
    <t>A3950</t>
  </si>
  <si>
    <t>Passenger Lists of Vessels Departing from Miami and Fort Lauderdale (Port Everglades), Florida, 8/30/1961 - 1/11/1962</t>
  </si>
  <si>
    <t>A3951</t>
  </si>
  <si>
    <t>Passenger and Crew Manifests of Airplanes Departing from Miami, Florida, 1/1/1942 - 6/30/1948</t>
  </si>
  <si>
    <t>A3952</t>
  </si>
  <si>
    <t>Passenger and Crew Manifests of Airplanes Departing from Miami, Florida, 12/1957 - 11/12/1969</t>
  </si>
  <si>
    <t>A3953</t>
  </si>
  <si>
    <t>Passenger Lists of Vessels Departing from Mobile, Alabama, 7/3/1907 - 2/14/1974</t>
  </si>
  <si>
    <t>A3954</t>
  </si>
  <si>
    <t>Passenger and Crew Manifests of Airplanes Departing from Mobile, Alabama, 4/12/1948 - 4/28/1967</t>
  </si>
  <si>
    <t>A3956</t>
  </si>
  <si>
    <t>Crew Lists of Vessels Arriving at Olympia, Washington, 2/23/1955 - 11/8/1981</t>
  </si>
  <si>
    <t>A3957</t>
  </si>
  <si>
    <t>Crew Lists of Vessels Arriving at and Departing from Morgan City, Louisiana, 12/1946 - 11/1981</t>
  </si>
  <si>
    <t>A3958</t>
  </si>
  <si>
    <t>Crew Lists of Vessels Arriving at Port Angeles, Washington, 12/1/1954 - 12/31/1981</t>
  </si>
  <si>
    <t>A3961</t>
  </si>
  <si>
    <t>Passenger and Crew Lists of Vessels Arriving at Saint Thomas, U.S. Virgin Islands, 12/1/1954 - 1/7/1983</t>
  </si>
  <si>
    <t>A3964</t>
  </si>
  <si>
    <t>Crew Lists of Vessels Arriving at Seattle, Washington, 4/22/1949 - 11/30/1954</t>
  </si>
  <si>
    <t>A3965</t>
  </si>
  <si>
    <t>Passenger and Crew Lists of Vessels Arriving at Seattle, Washington, 4/27/1917 - 5/2/1923</t>
  </si>
  <si>
    <t>A3966</t>
  </si>
  <si>
    <t>Passenger and Crew Lists of Vessels Arriving at Seattle, Washington, 6/28/1924 - 7/29/1929</t>
  </si>
  <si>
    <t>A3967</t>
  </si>
  <si>
    <t>Passenger and Crew Lists of Vessels and Airplanes Arriving at Seattle, Washington, 3/9/1957 - 12/30/1981</t>
  </si>
  <si>
    <t>A3970</t>
  </si>
  <si>
    <t>Crew Lists of Vessels Arriving at Mayaguez, Puerto Rico, 12/1954 - 7/1977</t>
  </si>
  <si>
    <t>A3972</t>
  </si>
  <si>
    <t>Applications for Authorization for Inter-Island Travel Certificates by Residents of the Northern Marianas Islands, Saipan District, Trust Territory of the Pacific Islands, 01/1947 - 12/1952</t>
  </si>
  <si>
    <t>A3975</t>
  </si>
  <si>
    <t>Alien Certificates Surrendered at San Francisco, California, April 1912-February 1946, by Aliens Who had Arrived at Honolulu, Hawaii</t>
  </si>
  <si>
    <t>A3976</t>
  </si>
  <si>
    <t>Passenger and Crew Lists of Vessels Arriving at Cleveland, Ohio, 4/1952 - 11/1954</t>
  </si>
  <si>
    <t>A3977</t>
  </si>
  <si>
    <t>Crew Lists of Vessels Arriving at Cleveland, Ohio, 01/1955 - 12/1984</t>
  </si>
  <si>
    <t>A3980</t>
  </si>
  <si>
    <t>Passenger and Crew Lists of Vessels and Airplanes Arriving at Houston, Texas, 12/1954 - 12/1981</t>
  </si>
  <si>
    <t>A3982</t>
  </si>
  <si>
    <t>Passenger and Crew Manifests of Airplanes Arriving at Houston, Texas, 12/1957 - 10/1969</t>
  </si>
  <si>
    <t>A3984</t>
  </si>
  <si>
    <t>Passenger Lists of Vessels Arriving at Jacksonville, Florida, 1904-1945</t>
  </si>
  <si>
    <t>A3986</t>
  </si>
  <si>
    <t>Passenger and Crew Lists of Vessels Arriving at Manitowoc, Wisconsin</t>
  </si>
  <si>
    <t>A3987</t>
  </si>
  <si>
    <t>Crew Lists of Vessels Arriving at Marblehead, Massachusetts, 1955</t>
  </si>
  <si>
    <t>A3990</t>
  </si>
  <si>
    <t>Crew Lists of Vessels Arriving at Miami, Florida</t>
  </si>
  <si>
    <t>A3992</t>
  </si>
  <si>
    <t>Passenger Manifests of Airplanes Arriving at Miami, Florida, 1929-1935</t>
  </si>
  <si>
    <t>A3993</t>
  </si>
  <si>
    <t>Passenger Manifests of Airplanes Arriving at Miami, Florida, 1936-1948</t>
  </si>
  <si>
    <t>A3995</t>
  </si>
  <si>
    <t>Passenger and Crew Manifests of Airplanes Arriving at Miami, Florida, 12/1957 - 11/1969</t>
  </si>
  <si>
    <t>A3997</t>
  </si>
  <si>
    <t>Passenger and Crew Manifests of Airplanes Arriving at Minneapolis - Saint Paul, Minnesota, 5/29/1957 - 11/23/1957</t>
  </si>
  <si>
    <t>A3998</t>
  </si>
  <si>
    <t>Passenger and Crew Manifests of Airplanes Arriving at New York, New York, 12/1/1957 - 11/3/1969</t>
  </si>
  <si>
    <t>A3999</t>
  </si>
  <si>
    <t>Passenger and Crew Lists of Vessels Departing from Ponce, Puerto Rico, 12/30/1954 - 5/3/1970</t>
  </si>
  <si>
    <t>A4000</t>
  </si>
  <si>
    <t>Chronological and Numerical Index to Chinese Landed and Refused at Portland, Oregon, and Chinese Landed and Refused at Astoria, Oregon, 1883 - 1904</t>
  </si>
  <si>
    <t>A4003</t>
  </si>
  <si>
    <t>Passenger Lists of Vessels Departing from Vancouver, British Columbia, Canada, 2/2/1958 - 12/4/1962</t>
  </si>
  <si>
    <t>A4004</t>
  </si>
  <si>
    <t>Passenger Manifests of Airplanes Departing from Vancouver, British Columbia, Canada, 3/29/1958 - 9/7/1958</t>
  </si>
  <si>
    <t>A4005</t>
  </si>
  <si>
    <t>Passenger and Crew Manifests of Airplanes Departing from Washington, DC, 5/18/1942 - 6/20/1952</t>
  </si>
  <si>
    <t>A4006</t>
  </si>
  <si>
    <t>Passenger and Crew Lists of Vessels and Airplanes Departing from Washington, DC, 12/1/1954 - 10/21/1965</t>
  </si>
  <si>
    <t>A4007</t>
  </si>
  <si>
    <t>Passenger and Crew Manifests of Airplanes Departing from Washington, DC, 12/1/1957 - 9/21/1969</t>
  </si>
  <si>
    <t>A4008</t>
  </si>
  <si>
    <t>Passenger and Crew Manifests of Overseas National Airways Flights Departing from Akron, Ohio, 6/27/1958 - 6/27/1958</t>
  </si>
  <si>
    <t>A4009</t>
  </si>
  <si>
    <t>Registers of Vessels Arriving at Charleston, South Carolina</t>
  </si>
  <si>
    <t>A4011</t>
  </si>
  <si>
    <t>Crew Lists of Vessels Arriving at Jacksonville, Florida, January 1906-December 1945</t>
  </si>
  <si>
    <t>A4012</t>
  </si>
  <si>
    <t>Crew Lists of Vessels Arriving at Jacksonville, Florida, January 1946-December 1954</t>
  </si>
  <si>
    <t>A4013</t>
  </si>
  <si>
    <t>Crew Lists of Vessels Arriving at Milwaukee, Wisconsin, 04/1957 - 12/1979</t>
  </si>
  <si>
    <t>A4015</t>
  </si>
  <si>
    <t>Passenger and Crew Manifests of Airplanes Departing from Nassau, Bahamas, Destined for U.S. Airports, 8/1/1959 - 11/11/1969</t>
  </si>
  <si>
    <t>A4016</t>
  </si>
  <si>
    <t>Passenger and Crew Lists of Vessels and Airplanes Departing from New Orleans, Louisiana, 12/1/1954 - 6/29/1978</t>
  </si>
  <si>
    <t>A4017</t>
  </si>
  <si>
    <t>Passenger and Crew Manifests of Airplanes Departing from New Orleans, Louisiana, 12/1/1957 - 11/6/1969</t>
  </si>
  <si>
    <t>A4020</t>
  </si>
  <si>
    <t>Passenger and Crew Manifests of Airplanes Departing from San Antonio, Texas, 01/01/1955 - 11/30/1957</t>
  </si>
  <si>
    <t>A4021</t>
  </si>
  <si>
    <t>Passenger and Crew Manifests of Airplanes Departing from San Antonio, Texas, 12/1/1957 - 11/10/1969</t>
  </si>
  <si>
    <t>A4026</t>
  </si>
  <si>
    <t>Passenger and Crew Lists of Vessels and Airplanes Arriving at Key West, Florida, 1/3/1946 - 2/10/1983</t>
  </si>
  <si>
    <t>A4028</t>
  </si>
  <si>
    <t>Passenger and Crew Manifests of Airplanes Departing from Niagara Falls, New York, 3/3/1962 - 10/11/1969</t>
  </si>
  <si>
    <t>A4029</t>
  </si>
  <si>
    <t>Passenger and Crew Lists of Vessels and Airplanes Departing from San Juan, Puerto Rico, 12/1/1954 - 7/23/1982</t>
  </si>
  <si>
    <t>A4031</t>
  </si>
  <si>
    <t>Passenger and Crew Manifests of Airplanes Departing from San Pedro, California, 1/17/1958 - 7/25/1965</t>
  </si>
  <si>
    <t>A4032</t>
  </si>
  <si>
    <t>Passenger and Crew Manifests of Airplanes Departing from Tucson, Arizona, 7/1/1961 - 10/30/1969</t>
  </si>
  <si>
    <t>A4034</t>
  </si>
  <si>
    <t>Passenger Lists of Vessels Departing from Boston, Massachusetts, 6/22/1948 - 11/26/1954</t>
  </si>
  <si>
    <t>A4035</t>
  </si>
  <si>
    <t>Passenger Lists of Vessels Departing from Boston, Massachusetts, and Arriving at Yarmouth, Nova, Scotia, 6/16/1948 - 9/11/1953</t>
  </si>
  <si>
    <t>A4036</t>
  </si>
  <si>
    <t>Passenger and Crew Manifests of Airplanes Departing from Boston, Massachusetts, 1/3/1948 - 11/30/1954</t>
  </si>
  <si>
    <t>A4037</t>
  </si>
  <si>
    <t>Crew Lists of Vessels Arriving at Brunswick, Georgia, 1904-1954</t>
  </si>
  <si>
    <t>A4038</t>
  </si>
  <si>
    <t>Passenger and Crew Lists of Vessels Departing from Saint Thomas, U.S. Virgin Islands, 12/1/1954 - 12/16/1982</t>
  </si>
  <si>
    <t>A4039</t>
  </si>
  <si>
    <t>Passenger and Crew Manifests of Airplanes Departing from Saint Thomas, U.S. Virgin Islands, 12/5/1957 - 10/21/1969</t>
  </si>
  <si>
    <t>A4040</t>
  </si>
  <si>
    <t>Mortuary Records of Chinese Decedents in California Compiled by the San Francisco, California, Immigration Office, 6/2/1870 - 4/30/1933</t>
  </si>
  <si>
    <t>A4041</t>
  </si>
  <si>
    <t>Records of Arrivals and Disposition of Japanese Vessel Passengers at San Francisco, California, 1/1928 - 11/1930</t>
  </si>
  <si>
    <t>A4044</t>
  </si>
  <si>
    <t>Passenger and Crew Manifests of Airplanes Departing from San Juan, Puerto Rico, 12/1/1957 - 10/25/1969</t>
  </si>
  <si>
    <t>A4045</t>
  </si>
  <si>
    <t>Passenger and Crew Manifests of Airplanes Departing from Savannah, Georgia, 1/16/1958 - 10/1/1960</t>
  </si>
  <si>
    <t>A4047</t>
  </si>
  <si>
    <t>Passenger and Crew Manifests of Airplanes Departing from Syracuse, New York, 11/22/1958 - 10/11/1969</t>
  </si>
  <si>
    <t>A4049</t>
  </si>
  <si>
    <t>Index to Chinese Passengers Arriving at Seattle, Washington, 1893 - ca. 1943</t>
  </si>
  <si>
    <t>A4051</t>
  </si>
  <si>
    <t>Indexes to Persons Arriving at Ports in Washington, Deserting Seamen, and Re-Entry Permits, 1907 - 1950</t>
  </si>
  <si>
    <t>A4052</t>
  </si>
  <si>
    <t>Index to Filipino Arrivals at Seattle, Washington, and at Pacific Seaports of Canada, 8/1/1890 - 8/1938</t>
  </si>
  <si>
    <t>A4053</t>
  </si>
  <si>
    <t>Passenger Lists of Vessels and Airplanes Departing from Norfolk, Virginia, 1/7/1945 - 6/30/1948</t>
  </si>
  <si>
    <t>A4055</t>
  </si>
  <si>
    <t>Crew List of the Star Arriving at Fort Pierce, Florida, 5/29/1962 - 5/29/1962</t>
  </si>
  <si>
    <t>A4056</t>
  </si>
  <si>
    <t>Passenger Lists of Vessels Departing from Halifax, Nova Scotia, and Saint John, New Brunswick, Canada, Destined for U.S. Ports, 12/12/1954 - 1/8/1962</t>
  </si>
  <si>
    <t>A4057</t>
  </si>
  <si>
    <t>Passenger Lists of Vessels Departing from Montreal, Quebec, Canada, Destined for U.S. Ports, 7/1/1956 - 7/19/1958</t>
  </si>
  <si>
    <t>A4059</t>
  </si>
  <si>
    <t>Passenger Manifests of Military Air Transport Service Flights Departing from Newark, New Jersey, 11/20/1956 - 11/30/1957</t>
  </si>
  <si>
    <t>A4060</t>
  </si>
  <si>
    <t>Passenger Manifests of Airplanes Departing from Newark, New Jersey, 1/16/1958 - 11/3/1969</t>
  </si>
  <si>
    <t>A4062</t>
  </si>
  <si>
    <t>Passenger Lists of Vessels Departing from New Orleans, Louisiana, 3/1/1929 - 6/30/1948</t>
  </si>
  <si>
    <t>A4063</t>
  </si>
  <si>
    <t>Passenger Lists of Vessels Departing from Norfolk, Virginia, 5/31/1955 - 7/31/1975</t>
  </si>
  <si>
    <t>A4064</t>
  </si>
  <si>
    <t>Passenger Manifests of Airplanes Departing from Norfolk, Virginia, 1/11/1958 - 3/7/1968</t>
  </si>
  <si>
    <t>A4067</t>
  </si>
  <si>
    <t>Passenger Lists of Vessels Departing from Quebec City, Quebec, Canada, Destined for U.S. Ports, 4/10/1957 - 6/30/1958</t>
  </si>
  <si>
    <t>A4069</t>
  </si>
  <si>
    <t>Indexes to Vessels Arriving at Savannah and Brunswick, Georgia, ca. 1909 - 9/1957</t>
  </si>
  <si>
    <t>A4070</t>
  </si>
  <si>
    <t>Passenger Lists of Vessels Departing from Savannah, Georgia, 4/24/1928 - 6/30/1948</t>
  </si>
  <si>
    <t>A4071</t>
  </si>
  <si>
    <t>Passenger Lists of Vessels Departing from Savannah, Georgia, 12/14/1954 - 2/28/1977</t>
  </si>
  <si>
    <t>A4072</t>
  </si>
  <si>
    <t>Passenger Manifests of Airplanes Departing from Sioux Falls, South Dakota, 12/03/1958 - 08/18/1961</t>
  </si>
  <si>
    <t>A4073</t>
  </si>
  <si>
    <t>Rough Draft Lists of Aliens Arriving at Skagway (White Pass), Alaska, 9/1914 - 6/1920</t>
  </si>
  <si>
    <t>A4074</t>
  </si>
  <si>
    <t>Passenger and Crew Manifests of Airplanes Arriving at Tampa, Florida, 4/13/1946 - 6/30/1958</t>
  </si>
  <si>
    <t>A4075</t>
  </si>
  <si>
    <t>Alien Passenger Manifests of Airplanes Arriving at Tampa, Florida, 8/23/1946 - 6/30/1947</t>
  </si>
  <si>
    <t>A4076</t>
  </si>
  <si>
    <t>Passenger Lists of the Vessel Aorangi Departing from Vancouver and Victoria, British Columbia, Canada, 9/16/1948 - 4/1/1951</t>
  </si>
  <si>
    <t>A4077</t>
  </si>
  <si>
    <t>Passenger Manifests of Airplanes Arriving at West Palm Beach, Florida, 8/14/1931 - 12/31/1947</t>
  </si>
  <si>
    <t>A4079</t>
  </si>
  <si>
    <t>Index to Alien Arrivals at Canadian Atlantic and Pacific Seaports, 1904 - 1909</t>
  </si>
  <si>
    <t>A4080</t>
  </si>
  <si>
    <t>Index to Alien Arrivals at Canadian Atlantic and Pacific Seaports, 1909 - 1941</t>
  </si>
  <si>
    <t>A4081</t>
  </si>
  <si>
    <t>Soundex Index to Alien Arrivals at Canadian Atlantic and Pacific Seaports, 1942 - 1944</t>
  </si>
  <si>
    <t>A4082</t>
  </si>
  <si>
    <t>Index to Alien Arrivals at Canadian Border Ports, 1909 - 6/1924</t>
  </si>
  <si>
    <t>A4083</t>
  </si>
  <si>
    <t>Head Tax Certificates (Form 524, Exempt Immigrants) Surrendered Upon Admission to the United States, 2/1/1904 - 5/1/1907</t>
  </si>
  <si>
    <t>A4084</t>
  </si>
  <si>
    <t>Head Tax Certificates (Form 524, Exempt Aliens) Surrendered Upon Admission to the United States, 1907 - 1911</t>
  </si>
  <si>
    <t>A4085</t>
  </si>
  <si>
    <t>Head Tax Certificates (Form 524, Exempt and Nonexempt Aliens) Surrendered Upon Admission to the United States, 1909 - 7/31/1929</t>
  </si>
  <si>
    <t>A4086</t>
  </si>
  <si>
    <t>Head Tax Certificates (Form 524, Nonexempt Aliens) Surrendered Upon Admission to the United States, 1909 - 7/31/1929</t>
  </si>
  <si>
    <t>A4087</t>
  </si>
  <si>
    <t>Head Tax Certificates (Form 524, Exempt Aliens) Surrendered Upon Admission to the United States, 1923 - 1929</t>
  </si>
  <si>
    <t>A4088</t>
  </si>
  <si>
    <t>Selected Head Tax Certificates (Form 524, Exempt and Non-Exempt Aliens) Surrendered Upon Admission to the United States, 7/7/1910 - 8/25/1928</t>
  </si>
  <si>
    <t>A4089</t>
  </si>
  <si>
    <t>Examination Records (Special Form 93) of Aliens Pre-Examined at Halifax, Nova Scotia, Canada, Before Admission to the United States, 3/1917 - 6/30/1924</t>
  </si>
  <si>
    <t>A4090</t>
  </si>
  <si>
    <t>Indexes to Aliens Pre-Examined at Montreal, Quebec, Canada, Before Admission to the United States, 5/16/1904 - 2/28/1917</t>
  </si>
  <si>
    <t>A4091</t>
  </si>
  <si>
    <t>Examination Records (Special Form 93) of Aliens Pre-Examined at Montreal, Quebec, Canada, Before Admission to the United States, 5/1/1917 - 6/30/1924</t>
  </si>
  <si>
    <t>A4092</t>
  </si>
  <si>
    <t>Passenger Lists of Vessels Arriving at Halifax, Nova Scotia, and Saint John, New Brunswick, Canada, 12/29/1954 - 2/28/1958</t>
  </si>
  <si>
    <t>A4093</t>
  </si>
  <si>
    <t>Head Tax Certificates (Form 524, Exempt Aliens) Surrendered Upon Admission to the United States, 1909 - 7/31/1929</t>
  </si>
  <si>
    <t>A4095</t>
  </si>
  <si>
    <t>Passenger and Crew Manifests of Airplanes Departing from New Orleans, Louisiana, 6/6/1943 - 6/30/1948</t>
  </si>
  <si>
    <t>A4096</t>
  </si>
  <si>
    <t>Crew Lists of Vessels Arriving at Pensacola, Florida, 1906—1954</t>
  </si>
  <si>
    <t>A4097</t>
  </si>
  <si>
    <t>Passenger and Crew Lists of Vessels and Airplanes Arriving at Philadelphia, Pennsylvania, 12/1/1954 - 3/31/1984</t>
  </si>
  <si>
    <t>A4099</t>
  </si>
  <si>
    <t>Passenger Manifests of Airplanes Arriving at, and Departing from, Saint Thomas, U.S. Virgin Islands, 10/30/1961 - 10/18/1969</t>
  </si>
  <si>
    <t>A4100</t>
  </si>
  <si>
    <t>Passenger and Crew Manifests of Airplanes Departing from San Francisco, California, 12/7/1957 - 10/28/1969</t>
  </si>
  <si>
    <t>A4101</t>
  </si>
  <si>
    <t>Passenger and Crew Lists of Vessels and Airplanes Departing from San Francisco, California, 12/1/1954 - 7/30/1977</t>
  </si>
  <si>
    <t>A4102</t>
  </si>
  <si>
    <t>Passenger and Crew Lists of Vessels Arriving at San Francisco, California, 2/28/1957 - 12/31/1981</t>
  </si>
  <si>
    <t>A4103</t>
  </si>
  <si>
    <t>Passenger and Crew Manifests of Airplanes Arriving at San Juan, Puerto Rico, 01/01/1942 - 06/30/1948</t>
  </si>
  <si>
    <t>A4106</t>
  </si>
  <si>
    <t>Passenger Lists of Vessels Departing from San Juan, Puerto Rico, 5/2/1917 - 6/30/1948</t>
  </si>
  <si>
    <t>A4107</t>
  </si>
  <si>
    <t>Manifests of Alien Arrivals in the Seattle, Washington District, 9/1924 - 12/1956</t>
  </si>
  <si>
    <t>A4108</t>
  </si>
  <si>
    <t>Passenger and Crew Lists of Vessels Arriving at South Bend, Washington, 12/14/1954 - 6/17/1956</t>
  </si>
  <si>
    <t>A4109</t>
  </si>
  <si>
    <t>Passenger List of the Barrunda Departing from South Bend, Washington, 4/16/1955 - 4/16/1955</t>
  </si>
  <si>
    <t>A4110</t>
  </si>
  <si>
    <t>Passenger and Crew Lists of Vessels Arriving at Wilmington, North Carolina, 12/4/1958 - 10/29/1983</t>
  </si>
  <si>
    <t>A4111</t>
  </si>
  <si>
    <t>Additional Passenger and Crew Manifests of Airplanes Arriving at Newark, New Jersey, 11/20/1956 - 4/29/1958</t>
  </si>
  <si>
    <t>A4112</t>
  </si>
  <si>
    <t>Passenger and Crew Manifests of Airplanes Arriving at Newark, New Jersey, 1/1/1957 - 11/7/1969</t>
  </si>
  <si>
    <t>A4114</t>
  </si>
  <si>
    <t>Passenger and Crew Lists of Vessels Arriving at New Bedford, Massachusetts, 4/5/1945 - 7/21/1978</t>
  </si>
  <si>
    <t>A4115</t>
  </si>
  <si>
    <t>Passenger and Crew Lists of Vessels Arriving at New York, New York, 1/1958 - 1/1983</t>
  </si>
  <si>
    <t>A4116</t>
  </si>
  <si>
    <t>Indexes and Registers of Vessels Arriving at New Orleans, Louisiana, with Summary Crew Lists, 7/12/1904 - 10/31/1958</t>
  </si>
  <si>
    <t>A4117</t>
  </si>
  <si>
    <t>Passenger Manifests of Airplanes Arriving at New Orleans, Louisiana, 4/10/1943 - 6/30/1947</t>
  </si>
  <si>
    <t>A4118</t>
  </si>
  <si>
    <t>Crew Lists of Vessels Arriving at Philadelphia, Pennsylvania, 1917-1940</t>
  </si>
  <si>
    <t>A4119</t>
  </si>
  <si>
    <t>Crew Lists of Vessels Arriving at Port Arthur, Texas, 5/2/1908 - 12/29/1981</t>
  </si>
  <si>
    <t>A4122</t>
  </si>
  <si>
    <t>Crew Lists of Vessels Arriving at Providence, Rhode Island, 8/22/1958 - 6/16/1982</t>
  </si>
  <si>
    <t>A4123</t>
  </si>
  <si>
    <t>Passenger and Crew Manifests of Airplanes Arriving at Providence, Rhode Island, 12/1/1957 - 11/26/1969</t>
  </si>
  <si>
    <t>A4124</t>
  </si>
  <si>
    <t>Records of Chinese Merchants Departing from and Returning to the United States and Registered at San Francisco, California, 11/1/1884 - 6/21/1888</t>
  </si>
  <si>
    <t>A4126</t>
  </si>
  <si>
    <t>Passenger Lists of Vessels Departing from San Pedro, California, 4/6/1961 - 10/13/1969</t>
  </si>
  <si>
    <t>A4127</t>
  </si>
  <si>
    <t>Passenger and Crew Manifests of Airplanes Departing from Seattle, Washington, 12/1/1957 - 11/5/1969</t>
  </si>
  <si>
    <t>A4130</t>
  </si>
  <si>
    <t>Passenger and Crew Manifests of Airplanes Departing from Westover Air Force Base in Chicopee, Massachusetts, 5/1/1948 - 5/31/1955</t>
  </si>
  <si>
    <t>A4131</t>
  </si>
  <si>
    <t>Passenger Manifests of Airplanes Departing from West Palm Beach, Florida, 5/12/1913 - 11/30/1954</t>
  </si>
  <si>
    <t>A4132</t>
  </si>
  <si>
    <t>Passenger and Crew Manifests of Airplanes Departing from West Palm Beach, Florida, 1/1/1942 - 12/30/1948</t>
  </si>
  <si>
    <t>A4134</t>
  </si>
  <si>
    <t>Registers of Chinese Laborers Departing from San Francisco, California, 10/20/1882 - 10/6/1908</t>
  </si>
  <si>
    <t>A4142</t>
  </si>
  <si>
    <t>Passenger Manifests of Airplanes Departing from Saint Thomas, U.S. Virgin Islands, 2/17/1942 - 7/1/1948</t>
  </si>
  <si>
    <t>A4143</t>
  </si>
  <si>
    <t>Passenger Lists of Vessels Departing from San Francisco, California, 2/9/1937 - 12/31/1951</t>
  </si>
  <si>
    <t>A4144</t>
  </si>
  <si>
    <t>Alien Passenger Manifests of Airplanes Arriving at San Juan, Puerto Rico, 04/01/1942 - 01/12/1949</t>
  </si>
  <si>
    <t>A4145</t>
  </si>
  <si>
    <t>Passenger Manifests of Airplanes Departing from San Juan, Puerto Rico, 1/2/1942 - 6/30/1948</t>
  </si>
  <si>
    <t>A4146</t>
  </si>
  <si>
    <t>Passenger Lists of Vessels Departing from San Pedro, California, 3/9/1929 - 6/30/1935</t>
  </si>
  <si>
    <t>A4147</t>
  </si>
  <si>
    <t>Passenger Lists of Vessels Departing from San Pedro, California, 6/28/1948 - 9/26/1948</t>
  </si>
  <si>
    <t>A4148</t>
  </si>
  <si>
    <t>Passenger Lists of Vessels and Airplanes Departing from San Pedro, California, 12/1/1954 - 9/30/1965</t>
  </si>
  <si>
    <t>A4150</t>
  </si>
  <si>
    <t>Passenger Manifests of Vessels and Airplanes Departing from Seattle, Washington, 12/1/1954 - 6/25/1970</t>
  </si>
  <si>
    <t>A4152</t>
  </si>
  <si>
    <t>Passenger Lists of Vessels Departing from Tacoma, Port Townsend, Olympia, Everett, Bellingham, and Aberdeen, Washington, 4/9/1954 - 10/29/1954</t>
  </si>
  <si>
    <t>A4153</t>
  </si>
  <si>
    <t>Passenger Lists of Vessels Departing from Tacoma, Washington, 1/8/1955 - 5/22/1970</t>
  </si>
  <si>
    <t>A4154</t>
  </si>
  <si>
    <t>Passenger Manifests of Vessels and Airplanes Departing from West Palm Beach, Florida, 12/1/1954 - 9/24/1973</t>
  </si>
  <si>
    <t>A4155</t>
  </si>
  <si>
    <t>Passenger Manifests of Airplanes Departing from West Palm Beach, Florida, 12/1/1957 - 11/7/1969</t>
  </si>
  <si>
    <t>A4156</t>
  </si>
  <si>
    <t>Passenger Lists of Vessels Arriving at Honolulu, Hawaii, 2/13/1900 - 12/30/1953</t>
  </si>
  <si>
    <t>A4159</t>
  </si>
  <si>
    <t>Indexes to Vessels Arriving at New York, New York, 1/1/1957 - 12/31/1968</t>
  </si>
  <si>
    <t>A4162</t>
  </si>
  <si>
    <t>Shipmaster Statements Regarding Changes in Crew of Vessels Departing From Philadelphia, Pennsylvania, 1917-1920, for Which No Crew List was Available</t>
  </si>
  <si>
    <t>A4163</t>
  </si>
  <si>
    <t>Passenger Lists of Vessels and Airplanes Departing from Philadelphia, Pennsylvania, 12/1/1954 - 12/17/1979</t>
  </si>
  <si>
    <t>A4165</t>
  </si>
  <si>
    <t>Passenger Coupons of Vessels Departing from San Pedro, California, 2/10/1917 - 2/26/1929</t>
  </si>
  <si>
    <t>A4168</t>
  </si>
  <si>
    <t>Passenger Lists of Vessels Arriving at New Bedford, Massachusetts, 12/14/1945 - 11/18/1954</t>
  </si>
  <si>
    <t>A4169</t>
  </si>
  <si>
    <t>Passenger and Crew Lists of Vessels and Airplanes Departing from New York, New York, 7/1/1948 - 12/31/1956</t>
  </si>
  <si>
    <t>A4170</t>
  </si>
  <si>
    <t>Passenger and Crew Lists of Vessels and Airplanes Departing from New York, New York, 1/1/1957 - 11/27/1982</t>
  </si>
  <si>
    <t>A4171</t>
  </si>
  <si>
    <t>Passenger and Crew Manifests of Airplanes Departing from New York, New York, 12/1/1957 - 11/1/1969</t>
  </si>
  <si>
    <t>A4172</t>
  </si>
  <si>
    <t>Passenger and Crew Manifests of Airplanes Arriving at Philadelphia, Pennsylvania, 3/27/1947 - 6/29/1948</t>
  </si>
  <si>
    <t>A4173</t>
  </si>
  <si>
    <t>Passenger Lists of Vessels Departing from Portland, Maine, 5/8/1955 - 1/6/1971</t>
  </si>
  <si>
    <t>A4174</t>
  </si>
  <si>
    <t>Crew Manifests of Airplanes Departing from Portland, Maine, 4/11/1946 - 4/20/1948</t>
  </si>
  <si>
    <t>A4175</t>
  </si>
  <si>
    <t>Crew Manifests of Airplanes Departing from Portland, Maine, 3/14/1958 - 9/9/1958</t>
  </si>
  <si>
    <t>A4176</t>
  </si>
  <si>
    <t>Passenger and Crew Lists of Vessels Departing from San Diego, California, 1/8/1955 - 1/5/1973</t>
  </si>
  <si>
    <t>A4177</t>
  </si>
  <si>
    <t>Passenger Lists of Vessels Departing from San Diego, California, 6/30/1962 - 6/27/1965</t>
  </si>
  <si>
    <t>A4178</t>
  </si>
  <si>
    <t>Passenger and Crew Manifests of Airplanes Departing from San Diego, California, 12/3/1957 - 10/24/1969</t>
  </si>
  <si>
    <t>A4180</t>
  </si>
  <si>
    <t>Register of Vessels Arriving at New Bedford, Massachusetts, 5/3/1902 - 6/16/1942</t>
  </si>
  <si>
    <t>A4181</t>
  </si>
  <si>
    <t>Indexes to Chinese and Non-Chinese Aliens Arriving at Portland and Astoria, Oregon, ca. 1891 - ca. 1949</t>
  </si>
  <si>
    <t>A4186</t>
  </si>
  <si>
    <t>Passenger Lists of Vessels Departing from Portland, Oregon, ca. 7/5/1889 - 11/16/1954</t>
  </si>
  <si>
    <t>A4187</t>
  </si>
  <si>
    <t>Index to Passenger Lists of Vessels Arriving at Tampa, Florida, 1914 - 1947</t>
  </si>
  <si>
    <t>A4188</t>
  </si>
  <si>
    <t>U.S., Border Crossings from Canada to U.S., 1825-1960</t>
  </si>
  <si>
    <t>A4196</t>
  </si>
  <si>
    <t>Passenger and Crew Manifests (Form 7509) of Airplanes Arriving at West Palm Beach, Florida, 9/17/1945 - 12/11/1947</t>
  </si>
  <si>
    <t>A4197</t>
  </si>
  <si>
    <t>Passenger Manifests of Airplanes Arriving at West Palm Beach, Florida, 1/2/1946 - 12/31/1947</t>
  </si>
  <si>
    <t>A4198</t>
  </si>
  <si>
    <t>Passenger Manifests (Form 7507) of Airplanes Arriving at West Palm Beach, Florida, 11/14/1942 - 12/28/1946</t>
  </si>
  <si>
    <t>A4199</t>
  </si>
  <si>
    <t>Card Manifests of Vessel Passengers Arriving at or Departing from Baltimore, Maryland; Philadelphia, Pennsylvania; and Norfolk, Virginia, 6/8/1959 - 5/31/1967</t>
  </si>
  <si>
    <t>A4200</t>
  </si>
  <si>
    <t>Register of Vessels Arriving at Portland, Maine, and at Halifax, Nova Scotia, and Saint John, New Brunswick, Canada, 1893-1955</t>
  </si>
  <si>
    <t>A4206</t>
  </si>
  <si>
    <t>Chronological Index of Vessels Departing from New York, New York, 7/1/1948 - 12/31/1957</t>
  </si>
  <si>
    <t>A4208</t>
  </si>
  <si>
    <t>Passenger Lists of Vessels Departing from San Francisco, California, 3/8/1963 - 3/31/1969</t>
  </si>
  <si>
    <t>A4211</t>
  </si>
  <si>
    <t>Lists of Passengers Arriving in the United States Onboard the Gdynia after Pre-Inspection at Halifax, Nova Scotia, Canada, 3/24/1960 - 3/24/1960</t>
  </si>
  <si>
    <t>A4218</t>
  </si>
  <si>
    <t>Crew Lists of Vessels Arriving at Pascagoula, Mississippi, 4/21/1955 - 3/20/1957</t>
  </si>
  <si>
    <t>A4220</t>
  </si>
  <si>
    <t>Passenger and Crew Manifests of Airplanes Arriving at Ponce, Puerto Rico, 05/26/1960 - 07/07/1961</t>
  </si>
  <si>
    <t>A4221</t>
  </si>
  <si>
    <t>Passenger Lists of Vessels Departing from Port Arthur, Texas, 2/7/1955 - 12/18/1956</t>
  </si>
  <si>
    <t>A4223</t>
  </si>
  <si>
    <t>Passenger and Crew Lists of Vessels Arriving at Saint John, New Brunswick, Canada, 8/29/1955 - 4/14/1956</t>
  </si>
  <si>
    <t>A4228</t>
  </si>
  <si>
    <t>Passenger Lists of Vessels Arriving at Philadelphia, Pennsylvania, 1/1/1946 - 6/28/1948</t>
  </si>
  <si>
    <t>A4233</t>
  </si>
  <si>
    <t>Crew Lists of Vessels Arriving at Fort Lauderdale (Port Everglades), Florida, 12/1939 - 12/1945</t>
  </si>
  <si>
    <t>A4234</t>
  </si>
  <si>
    <t>Passenger Manifests of Airplanes Arriving at Boca Chica, Fort Lauderdale, Jacksonville, Key West, Miami, Orlando, Pensacola, and Tampa, Florida, and Charleston, South Carolina, 1944-1945.</t>
  </si>
  <si>
    <t>C53</t>
  </si>
  <si>
    <t>Field Basic Documentation of the War Relocation Authority, 1942-1946.</t>
  </si>
  <si>
    <t>C72</t>
  </si>
  <si>
    <t>Navy JAG Case Files of Pacific Area War Crimes Trials, 1944-1949.</t>
  </si>
  <si>
    <t>C73</t>
  </si>
  <si>
    <t>Army JAG Case Files of Pacific Area War Crimes Trials, 1944-1949 (Iwanami Case).</t>
  </si>
  <si>
    <t>DN1924</t>
  </si>
  <si>
    <t>Records of the Foreign Exchange Depository Group of the Office of the Finance Adviser, OMGUS, 1944-1950</t>
  </si>
  <si>
    <t>DN1929</t>
  </si>
  <si>
    <t>Records of the Property Control Branch of the U.S. Allied Commission for Austria (USACA), 1945-1950</t>
  </si>
  <si>
    <t>M0019</t>
  </si>
  <si>
    <t>Fifth Census of the United States, 1830</t>
  </si>
  <si>
    <t>Familysearch.org</t>
  </si>
  <si>
    <t>M0032</t>
  </si>
  <si>
    <t>Second Census of the United States, 1800 (Index only)</t>
  </si>
  <si>
    <t>M0033</t>
  </si>
  <si>
    <t>Fourth Census of the United States, 1820.</t>
  </si>
  <si>
    <t>M0040</t>
  </si>
  <si>
    <t>Domestic Letters of the Department of State, 1784-1906</t>
  </si>
  <si>
    <t>M0061</t>
  </si>
  <si>
    <t>Foreign Letters of the Continental Congress and the Department of State, 1785-1790</t>
  </si>
  <si>
    <t>2945495 </t>
  </si>
  <si>
    <t>M0075</t>
  </si>
  <si>
    <t>Records of the U.S. Exploring Expedition Under the Command of Lt. Charles Wilkes, 1836-1842.</t>
  </si>
  <si>
    <t>1801187, 1740818 </t>
  </si>
  <si>
    <t>M0088</t>
  </si>
  <si>
    <t>Records Relating to the United States Surveying Expedition to the North Pacific Ocean, 1852-1863.</t>
  </si>
  <si>
    <t>M0123</t>
  </si>
  <si>
    <t>Special Schedules of the Eleventh Census (1890) Enumerating Union Veterans and Widows of Union Veterans of the Civil War</t>
  </si>
  <si>
    <t>M0148</t>
  </si>
  <si>
    <t>M0158</t>
  </si>
  <si>
    <t>Schedules of the Colorado State Census, 1885.</t>
  </si>
  <si>
    <t>821350, 963450, 963320, 963447, 963449</t>
  </si>
  <si>
    <t>M0160</t>
  </si>
  <si>
    <t>M0162</t>
  </si>
  <si>
    <t>The Revolutionary War Prize Cases: Records of the Court of Appeal in Cases of Capture, 1776-1787</t>
  </si>
  <si>
    <t>2126663, 2126965, 2126967, 2127225, 2127228, 2127242, 2127214, 2127224, 2125506, 2108839</t>
  </si>
  <si>
    <t>M0208</t>
  </si>
  <si>
    <t>Records of the Cherokee Indian Agency in Tennessee, 1801-1835</t>
  </si>
  <si>
    <t>1184717, 575272, 1223563</t>
  </si>
  <si>
    <t>M0233</t>
  </si>
  <si>
    <t>Register of Enlistments in the U.S. Army, 1798-1914</t>
  </si>
  <si>
    <t>M0237</t>
  </si>
  <si>
    <t>Passenger Lists of Vessels Arriving at New York, New York, 1820-1897</t>
  </si>
  <si>
    <t>M0243</t>
  </si>
  <si>
    <t>Index to Compiled Service Records of Volunteer Soldiers Who Served During the Cherokee Removal in Organizations From the State of Alabama</t>
  </si>
  <si>
    <t>M0246</t>
  </si>
  <si>
    <t>Revolutionary War Rolls, 1775-1783</t>
  </si>
  <si>
    <t>M0247</t>
  </si>
  <si>
    <t>Papers of the Continental Congress</t>
  </si>
  <si>
    <t>M0251</t>
  </si>
  <si>
    <t>Compiled Service Records of Confederate Soldiers Who Served in Organizations From the State of Florida</t>
  </si>
  <si>
    <t>M0252</t>
  </si>
  <si>
    <t>Third Census of the United States, 1810</t>
  </si>
  <si>
    <t>M0253</t>
  </si>
  <si>
    <t>Consolidated Index to Compiled Service Records of Confederate Soldiers</t>
  </si>
  <si>
    <t>M0255</t>
  </si>
  <si>
    <t>Passenger Lists of Vessels Arriving at Baltimore, Maryland, 1820-1891</t>
  </si>
  <si>
    <t>M0256</t>
  </si>
  <si>
    <t>Index to Compiled Service Records of Volunteer Soldiers Who Served During the Cherokee Disturbances and Removal in Organizations From the State of North Carolina.</t>
  </si>
  <si>
    <t>M0258</t>
  </si>
  <si>
    <t>Compiled Service Records of Confederate Soldiers Who Served in Organizations Raised Directly by the Confederate Government</t>
  </si>
  <si>
    <t xml:space="preserve">2824925, 2824927 </t>
  </si>
  <si>
    <t>M0259</t>
  </si>
  <si>
    <t>Passenger Lists of Vessels Arriving at New Orleans, Louisiana, 1820-1902</t>
  </si>
  <si>
    <t>2546047, 2545931, 2545935</t>
  </si>
  <si>
    <t>M0260</t>
  </si>
  <si>
    <t>Records Relating to Confederate Naval and Marine Personnel</t>
  </si>
  <si>
    <t>M0261</t>
  </si>
  <si>
    <t>Index to Passenger Lists of Vessels Arriving at New York, New York, 1820-1846</t>
  </si>
  <si>
    <t>M0262</t>
  </si>
  <si>
    <t>Official Records of the Union and Confederate Armies, 1861-1865.</t>
  </si>
  <si>
    <t>94, 107, 109</t>
  </si>
  <si>
    <t>M0265</t>
  </si>
  <si>
    <t>Index to Passenger Lists of Vessels Arriving at Boston 1848-1891</t>
  </si>
  <si>
    <t>M0266</t>
  </si>
  <si>
    <t>Compiled Service Records of Confederate Soldiers Who Served in Organizations From the State of Georgia</t>
  </si>
  <si>
    <t>M0267</t>
  </si>
  <si>
    <t>Compiled Service Records of Confederate Soldiers Who Served in Organizations From the State of South Carolina</t>
  </si>
  <si>
    <t>M0268</t>
  </si>
  <si>
    <t>Compiled Service Records of Confederate Soldiers Who Served in Organizations From the State of Tennessee</t>
  </si>
  <si>
    <t>M0269</t>
  </si>
  <si>
    <t>Compiled Service Records of Confederate Soldiers Who Served in Organizations From the State of Mississippi (Index only)</t>
  </si>
  <si>
    <t>M0270</t>
  </si>
  <si>
    <t>Compiled Service Records of Confederate Soldiers Who Served in Organizations From the State of North Carolina</t>
  </si>
  <si>
    <t>M0272</t>
  </si>
  <si>
    <t>Quarterly Abstracts of Passenger Lists of Vessels Arriving at New Orleans, Louisiana, 1820-1902</t>
  </si>
  <si>
    <t>M0275</t>
  </si>
  <si>
    <t>Official Records of the Union and Confederate Navies, 1861-1865</t>
  </si>
  <si>
    <t>M0276</t>
  </si>
  <si>
    <t>Compiled Service Records of Volunteer Union Soldiers Who Served in Organizations From the State of Alabama</t>
  </si>
  <si>
    <t>M0277</t>
  </si>
  <si>
    <t>Passenger Lists of Vessels Arriving at Boston, Massachusetts, 1820-1891</t>
  </si>
  <si>
    <t>M0278</t>
  </si>
  <si>
    <t>M0311</t>
  </si>
  <si>
    <t>Compiled Service Records of Confederate Soldiers Who Served in Organizations From the State of Alabama</t>
  </si>
  <si>
    <t>M0313</t>
  </si>
  <si>
    <t>Index to War of 1812 Pension Application Files.</t>
  </si>
  <si>
    <t>M0317</t>
  </si>
  <si>
    <t>M0318</t>
  </si>
  <si>
    <t>Compiled Service Records of Confederate Soldiers Who Served in Organizations From the Territory of Arizona</t>
  </si>
  <si>
    <t>M0319</t>
  </si>
  <si>
    <t>M0320</t>
  </si>
  <si>
    <t>M0321</t>
  </si>
  <si>
    <t>M0322</t>
  </si>
  <si>
    <t>Compiled Service Records of Confederate Soldiers Who Served in Organizations From the State of Missouri</t>
  </si>
  <si>
    <t>M0323</t>
  </si>
  <si>
    <t>Compiled Service Records of Confederate Soldiers Who Served in Organizations From the State of Texas</t>
  </si>
  <si>
    <t>M0324</t>
  </si>
  <si>
    <t>Compiled Service Records of Confederate Soldiers Who Served in Organizations From the State of Virginia</t>
  </si>
  <si>
    <t>M0331</t>
  </si>
  <si>
    <t>Compiled Service Records of Confederate Generals and Staff Officers, and Nonregimental Enlisted Men</t>
  </si>
  <si>
    <t>M0332</t>
  </si>
  <si>
    <t>Miscellaneous Papers of the Continental Congress</t>
  </si>
  <si>
    <t>M0334</t>
  </si>
  <si>
    <t>Supplemental Index to Passenger Lists of Vessels Arriving at Atlantic and Gulf Coast Ports (Excluding New York), 1820-1874</t>
  </si>
  <si>
    <t>M0345</t>
  </si>
  <si>
    <t>M0346</t>
  </si>
  <si>
    <t>Confederate Papers Relating to Citizens or Business Firms, 1861-65</t>
  </si>
  <si>
    <t>M0347</t>
  </si>
  <si>
    <t>Unfiled Papers and Slips Belonging in Confederate Compiled Service Records</t>
  </si>
  <si>
    <t>M0352</t>
  </si>
  <si>
    <t>Schedules of the Nebraska State Census of 1885</t>
  </si>
  <si>
    <t>M0360</t>
  </si>
  <si>
    <t>Index to Passenger Lists of Vessels Arriving at Philadelphia, Pennsylvania, 1800-1906</t>
  </si>
  <si>
    <t>M0367</t>
  </si>
  <si>
    <t>Records of the Department of State Relating to World War I and Its Termination, 1914-1929.</t>
  </si>
  <si>
    <t>M0372</t>
  </si>
  <si>
    <t>U.S. Direct Tax of 1798: Tax Lists for the State of Pennsylvania, 1798</t>
  </si>
  <si>
    <t>M0374</t>
  </si>
  <si>
    <t>Index to Compiled Service Records of Confederate Soldiers Who Served in Organizations From the State of Alabama</t>
  </si>
  <si>
    <t>M0382</t>
  </si>
  <si>
    <t>Index to Compiled Service Records of Confederate Soldiers Who Served in Organizations from the State of Virginia</t>
  </si>
  <si>
    <t>M0384</t>
  </si>
  <si>
    <t>Compiled Service Records of Volunteer Union Soldiers Who Served in Organizations From the State of Maryland</t>
  </si>
  <si>
    <t>M0390</t>
  </si>
  <si>
    <t>Index to Compiled Service Records of Volunteer Union Soldiers Who Served in Organizations From the State of Missouri</t>
  </si>
  <si>
    <t>M0395</t>
  </si>
  <si>
    <t>Compiled Service Records of Volunteer Union Soldiers Who Served in Organizations From the State of Tennessee</t>
  </si>
  <si>
    <t>M0396</t>
  </si>
  <si>
    <t>Compiled Service Records of Volunteer Union Soldiers Who Served in Organizations From the State of Louisiana</t>
  </si>
  <si>
    <t>M0397</t>
  </si>
  <si>
    <t>Compiled Service Records of Volunteer Union Soldiers Who Served in Organizations From the State of Kentucky</t>
  </si>
  <si>
    <t>M0398</t>
  </si>
  <si>
    <t>Compiled Service Records of Volunteer Union Soldiers Who Served in Organizations From the State of Virginia</t>
  </si>
  <si>
    <t>M0399</t>
  </si>
  <si>
    <t>Compiled Service Records of Volunteer Union Soldiers Who Served in Organizations From the State of Arkansas</t>
  </si>
  <si>
    <t>M0400</t>
  </si>
  <si>
    <t>Compiled Service Records of Volunteer Union Soldiers Who Served in Organizations From the State of Florida</t>
  </si>
  <si>
    <t>M0401</t>
  </si>
  <si>
    <t>Compiled Service Records of Volunteer Union Soldiers Who Served in Organizations From the State of North Carolina</t>
  </si>
  <si>
    <t>M0402</t>
  </si>
  <si>
    <t>Compiled Service Records of Volunteer Union Soldiers Who Served in Organizations From the State of Texas</t>
  </si>
  <si>
    <t>M0403</t>
  </si>
  <si>
    <t>Compiled Service Records of Volunteer Union Soldiers Who Served in Organizations From the State of Georgia</t>
  </si>
  <si>
    <t>M0404</t>
  </si>
  <si>
    <t>Compiled Service Records of Volunteer Union Soldiers Who Served in Organizations From the State of Mississippi</t>
  </si>
  <si>
    <t>M0405</t>
  </si>
  <si>
    <t>Compiled Service Records of Volunteer Union Soldiers Who Served in Organizations From the State of Missouri</t>
  </si>
  <si>
    <t>M0407</t>
  </si>
  <si>
    <t>Eleventh Census of the United States, 1890</t>
  </si>
  <si>
    <t>M0416</t>
  </si>
  <si>
    <t>Union Provost Marshal's File of Papers Relating to Two or More Civilians</t>
  </si>
  <si>
    <t>M0425</t>
  </si>
  <si>
    <t>Passenger Lists of Vessels Arriving at Philadelphia, Pennsylvania, 1800-1882</t>
  </si>
  <si>
    <t>M0427</t>
  </si>
  <si>
    <t>Compiled Service Records of Volunteer Union Soldiers Who Served in Organizations From the Territory of New Mexico</t>
  </si>
  <si>
    <t>M0432</t>
  </si>
  <si>
    <t>Seventh Census of the United States, 1850</t>
  </si>
  <si>
    <t>FamilySearch.org (Slave Schedule)</t>
  </si>
  <si>
    <t>4314538, 4314547, 4306299</t>
  </si>
  <si>
    <t>M0433</t>
  </si>
  <si>
    <t>M0434</t>
  </si>
  <si>
    <t>Habeas Corpus Case Records, 1820-1863, of the U.S. District Court for the District of Columbia.</t>
  </si>
  <si>
    <t>M0508</t>
  </si>
  <si>
    <t>Compiled Service Records of Volunteer Union Soldiers who Served in Organizations From the State of West Virginia</t>
  </si>
  <si>
    <t>M0520</t>
  </si>
  <si>
    <t>Records of the Board of Commissioners for the Emancipation of Slaves in the District of Columbia, 1862-1863</t>
  </si>
  <si>
    <t>M0532</t>
  </si>
  <si>
    <t>Index to Compiled Service Records of Volunteer Union Soldiers Who Served in Organizations from the Territory of Arizona</t>
  </si>
  <si>
    <t>M0533</t>
  </si>
  <si>
    <t>Index to Compiled Service Records of Volunteer Union Soldiers Who Served in Organizations From the State of California</t>
  </si>
  <si>
    <t>M0534</t>
  </si>
  <si>
    <t>Index to Compiled Service Records of Volunteer Union Soldiers Who Served in Organizations from the Territory of Colorado</t>
  </si>
  <si>
    <t>M0535</t>
  </si>
  <si>
    <t>Index to Compiled Service Records of Volunteer Union Soldiers Who Served in Organizations From the State of Connecticut</t>
  </si>
  <si>
    <t>M0539</t>
  </si>
  <si>
    <t>Index to Compiled Service Records of Volunteer Union Soldiers Who Served in Organizations From the State of Illinois</t>
  </si>
  <si>
    <t>M0540</t>
  </si>
  <si>
    <t>Index to Compiled Service Records of Volunteer Union Soldiers Who Served in Organizations From the State of Indiana</t>
  </si>
  <si>
    <t>M0541</t>
  </si>
  <si>
    <t>Index to Compiled Service Records of Volunteer Union Soldiers Who Served in Organizations From the State of Iowa</t>
  </si>
  <si>
    <t>M0542</t>
  </si>
  <si>
    <t>Index to Compiled Service Records of Volunteer Union Soldiers Who Served in Organizations From the State of Kansas</t>
  </si>
  <si>
    <t>M0543</t>
  </si>
  <si>
    <t>Index to Compiled Service Records of Volunteer Union Soldiers Who Served in Organizations From the State of Maine</t>
  </si>
  <si>
    <t>M0544</t>
  </si>
  <si>
    <t>Index to Compiled Service Records of Volunteer Union Soldiers Who Served in Organizations from The State of Massachusetts</t>
  </si>
  <si>
    <t>M0545</t>
  </si>
  <si>
    <t>Index To Compiled Service Records Of Volunteer Union Soldiers Who Served In Organizations From the State Of Michigan</t>
  </si>
  <si>
    <t>M0546</t>
  </si>
  <si>
    <t>Index to Compiled Service Records of Volunteer Union Soldiers Who Served in Organizations From the State of Minnesota</t>
  </si>
  <si>
    <t>M0549</t>
  </si>
  <si>
    <t>Index to Compiled Service Records of Volunteer Union Soldiers Who Served in Organizations From the State of New Hampshire</t>
  </si>
  <si>
    <t>M0550</t>
  </si>
  <si>
    <t>Index to Compiled Service Records of Volunteer Union Soldiers Who Served in Organizations From the State of New Jersey</t>
  </si>
  <si>
    <t>M0551</t>
  </si>
  <si>
    <t>Index to Compiled Service Records of Volunteer Union Soldiers Who Served in Organizations from the State of New York</t>
  </si>
  <si>
    <t>M0552</t>
  </si>
  <si>
    <t>Index to Compiled Service Records of Volunteer Union Soldiers Who Served in Organizations from the State of Ohio</t>
  </si>
  <si>
    <t>M0554</t>
  </si>
  <si>
    <t>Index to Compiled Service Records of Volunteer Union Soldier Who Served in Organizations From the State of Pennsylvania</t>
  </si>
  <si>
    <t>M0555</t>
  </si>
  <si>
    <t>Index to Compiled Service Records of Volunteer Union Soldiers Who Served in Organizations from the State of Rhode Island</t>
  </si>
  <si>
    <t>M0557</t>
  </si>
  <si>
    <t>Index to Compiled Service Records of Volunteer Union Soldiers Who Served in Organizations From the State of Vermont</t>
  </si>
  <si>
    <t>M0558</t>
  </si>
  <si>
    <t>Index to Compiled Service Records of Volunteer Union Soldiers Who Served in Organizations from the Territory of Washington</t>
  </si>
  <si>
    <t>M0559</t>
  </si>
  <si>
    <t>Index to Compiled Service Records of Volunteer Union Soldiers Who Served in Organizations From the State of Wisconsin</t>
  </si>
  <si>
    <t>M0566</t>
  </si>
  <si>
    <t>M0567</t>
  </si>
  <si>
    <t>Letters Received by the Office of the Adjutant General Main Series 1822-1860</t>
  </si>
  <si>
    <t>M0570</t>
  </si>
  <si>
    <t>Copybooks of George Washington's Correspondence with Secretaries of State, 1789-1796</t>
  </si>
  <si>
    <t>M0574</t>
  </si>
  <si>
    <t>Special Files of the Office of Indian Affairs, 1807-1904</t>
  </si>
  <si>
    <t>FamilySearch</t>
  </si>
  <si>
    <t>M0575</t>
  </si>
  <si>
    <t>Copies of Lists of Passengers Arriving at Miscellaneous Ports on the Atlantic and Gulf Coasts and at Ports on the Great Lakes, 1820-1873.</t>
  </si>
  <si>
    <t>M0588</t>
  </si>
  <si>
    <t>War of 1812 POW and passenger records</t>
  </si>
  <si>
    <t>M0593</t>
  </si>
  <si>
    <t>Ninth Census of the United States, 1870</t>
  </si>
  <si>
    <t>M0595</t>
  </si>
  <si>
    <t xml:space="preserve"> Indian Census Rolls, 1885 - 1941</t>
  </si>
  <si>
    <t>M0596</t>
  </si>
  <si>
    <t>Quarterly Abstracts of Passenger Lists of Vessels Arriving at Baltimore, Maryland, 1820-1869</t>
  </si>
  <si>
    <t>2791288, 5634806, 5634827</t>
  </si>
  <si>
    <t>M0597</t>
  </si>
  <si>
    <t>Nonpopulation Census Schedules for Pennsylvania 1850-1880: Supplemental Schedules of Defective, Dependent, and Delinquent Classes, 1880</t>
  </si>
  <si>
    <t>M0598</t>
  </si>
  <si>
    <t>Selected Records of the War Department Relating to Confederate Prisoners of War, 1861-1865</t>
  </si>
  <si>
    <t>595616, 595636, 7290169, 301659, 595611, 595631, 595638, 595643, 595645, 7290168, 38983019, 595601</t>
  </si>
  <si>
    <t>M0599</t>
  </si>
  <si>
    <t>Investigation and Trial Papers Relating to the Assassination of President Lincoln</t>
  </si>
  <si>
    <t>M0602</t>
  </si>
  <si>
    <t>Index to Compiled Service Records of Volunteer Soldiers Who Served During the War of 1812</t>
  </si>
  <si>
    <t>M0603</t>
  </si>
  <si>
    <t>Internal Revenue Assessment Lists for New York and New Jersey, 1862-1866</t>
  </si>
  <si>
    <t>M0616</t>
  </si>
  <si>
    <t>Index To Compiled Service Records Of Volunteer Soldiers Who Served During The Mexican War</t>
  </si>
  <si>
    <t>M0617</t>
  </si>
  <si>
    <t>Returns From U.S. Military Posts, 1800-1916</t>
  </si>
  <si>
    <t>M0619</t>
  </si>
  <si>
    <t>Letters Received by the Office of the Adjutant General, Main Series, 1861-1870</t>
  </si>
  <si>
    <t>M0629</t>
  </si>
  <si>
    <t>Index to Compiled Service Records of Volunteer Soldiers Who Served During Indian Wars and Disturbances, 1815-1858</t>
  </si>
  <si>
    <t>M0636</t>
  </si>
  <si>
    <t>Index to Compiled Service Records of Volunteer Union Soldiers Who Served in the Veteran Reserve Corps</t>
  </si>
  <si>
    <t>M0638</t>
  </si>
  <si>
    <t>M0653</t>
  </si>
  <si>
    <t>Eighth Census of the United States, 1860</t>
  </si>
  <si>
    <t>M0665</t>
  </si>
  <si>
    <t>Returns From Regular Army Infantry Regiments, June 1821-Dec. 1916</t>
  </si>
  <si>
    <t>M0666</t>
  </si>
  <si>
    <t>Letters Received by the Office of the Adjutant General, Main Series, 1871-1880</t>
  </si>
  <si>
    <t>299798, 1633579, 1633966, 1633977</t>
  </si>
  <si>
    <t>M0668</t>
  </si>
  <si>
    <t>M0678</t>
  </si>
  <si>
    <t>Compiled Service Records of Volunteer Soldiers Who Served During the War of 1812 in Organizations from the Territory of Mississippi</t>
  </si>
  <si>
    <t>M0685</t>
  </si>
  <si>
    <t>Records Relating to Enrollment of Eastern Cherokee by Guion Miller, 1908-1910</t>
  </si>
  <si>
    <t>M0686</t>
  </si>
  <si>
    <t>Index to General Correspondence of the Record and Pension Office, 1889-1904</t>
  </si>
  <si>
    <t>656629, 656631</t>
  </si>
  <si>
    <t>M0688</t>
  </si>
  <si>
    <t>U.S. Military Academy Cadet Application Papers, 1805-1866</t>
  </si>
  <si>
    <t>M0690</t>
  </si>
  <si>
    <t>Returns From Regular Army Engineer Battalions, Sept. 1846-June 1916.</t>
  </si>
  <si>
    <t>M0692</t>
  </si>
  <si>
    <t>Compiled Service Records of Volunteer Union Soldiers Who Served in Organizations From the Territory of Utah</t>
  </si>
  <si>
    <t>M0704</t>
  </si>
  <si>
    <t>Sixth Census of the United States, 1840</t>
  </si>
  <si>
    <t>Familysearch.org (Index Only)</t>
  </si>
  <si>
    <t>M0727</t>
  </si>
  <si>
    <t>Returns From Regular Army Artillery Regiments, June 1821-Jan. 1901.</t>
  </si>
  <si>
    <t>M0728</t>
  </si>
  <si>
    <t>Returns From Regular Army Field Artillery Batteries and Regiments, Feb. 1901-Dec. 1916</t>
  </si>
  <si>
    <t>1412093, 1432888, 1429669, 1432891, 1398374, 1429666, 1432890</t>
  </si>
  <si>
    <t>M0742</t>
  </si>
  <si>
    <t>Selected Series of Records Issued by the Commissioner of the Bureau of Refugees, Freedmen, and Abandoned Lands, 1865-1872.</t>
  </si>
  <si>
    <t>M0744</t>
  </si>
  <si>
    <t>Returns From Regular Army Cavalry Regiments, 1833-1916</t>
  </si>
  <si>
    <t>Ancestry.com
 (Buffalo Solders)</t>
  </si>
  <si>
    <t>1461826, 1461832, 614236, 1461815, 1460517</t>
  </si>
  <si>
    <t>M0752</t>
  </si>
  <si>
    <t>Registers and Letters Received by the Commissioner of the Bureau of Refugees, Freedmen, and Abandoned Lands, 1865-1872.</t>
  </si>
  <si>
    <t>M0754</t>
  </si>
  <si>
    <t>Internal Revenue Assessment Lists for Alabama, 1865-1866</t>
  </si>
  <si>
    <t>M0755</t>
  </si>
  <si>
    <t>Internal Revenue Assessment Lists for Arkansas, 1865-1866</t>
  </si>
  <si>
    <t>M0756</t>
  </si>
  <si>
    <t>Internal Revenue Assessment Lists for California, 1862-1866</t>
  </si>
  <si>
    <t>M0757</t>
  </si>
  <si>
    <t>Internal Revenue Assessment Lists for the Territory of Colorado, 1862-1866</t>
  </si>
  <si>
    <t>M0758</t>
  </si>
  <si>
    <t>Internal Revenue Assessment Lists for Connecticut, 1862-1866</t>
  </si>
  <si>
    <t>M0759</t>
  </si>
  <si>
    <t>Internal Revenue Assessment Lists for Delaware, 1862-1866</t>
  </si>
  <si>
    <t>M0760</t>
  </si>
  <si>
    <t>Internal Revenue Assessment Lists for the District of Columbia, 1862-1866</t>
  </si>
  <si>
    <t>M0761</t>
  </si>
  <si>
    <t>Internal Revenue Assessment Lists for Florida, 1865-1866</t>
  </si>
  <si>
    <t>M0762</t>
  </si>
  <si>
    <t>Internal Revenue Assessment Lists for Georgia, 1865-1866</t>
  </si>
  <si>
    <t>M0763</t>
  </si>
  <si>
    <t>Internal Revenue Assessment Lists for the Territory of Idaho, 1865-1866</t>
  </si>
  <si>
    <t>M0764</t>
  </si>
  <si>
    <t>Internal Revenue Assessment Lists for Illinois, 1862-1866</t>
  </si>
  <si>
    <t>M0765</t>
  </si>
  <si>
    <t>Internal Revenue Assessment Lists for Indiana, 1862-1864.</t>
  </si>
  <si>
    <t>M0766</t>
  </si>
  <si>
    <t>Internal Revenue Assessment Lists for Iowa, 1862-1866</t>
  </si>
  <si>
    <t>M0767</t>
  </si>
  <si>
    <t>Internal Revenue Assessment Lists for Kansas, 1862-1866</t>
  </si>
  <si>
    <t>M0768</t>
  </si>
  <si>
    <t>Internal Revenue Assessment Lists for Kentucky, 1862-1866</t>
  </si>
  <si>
    <t>M0769</t>
  </si>
  <si>
    <t>Internal Revenue Assessment Lists for Louisiana, 1863-1866</t>
  </si>
  <si>
    <t>M0770</t>
  </si>
  <si>
    <t>Internal Revenue Assessment Lists for Maine, 1862-1866</t>
  </si>
  <si>
    <t>M0771</t>
  </si>
  <si>
    <t>Internal Revenue Assessment Lists for Maryland, 1862-1866</t>
  </si>
  <si>
    <t>M0773</t>
  </si>
  <si>
    <t>Internal Revenue Assessment Lists For Michigan, 1862-1866</t>
  </si>
  <si>
    <t>M0774</t>
  </si>
  <si>
    <t>Internal Revenue Assessment Lists for Minnesota, 1862-1866</t>
  </si>
  <si>
    <t>M0775</t>
  </si>
  <si>
    <t>Internal Revenue Assessment Lists for Mississippi, 1865-1866</t>
  </si>
  <si>
    <t>M0776</t>
  </si>
  <si>
    <t>Tax Assessment Lists for Collection Districts in the State of Missouri, 1862-1865</t>
  </si>
  <si>
    <t>M0777</t>
  </si>
  <si>
    <t>Internal Revenue Assessment Lists for Montana, 1864-1872</t>
  </si>
  <si>
    <t>M0779</t>
  </si>
  <si>
    <t>Internal Revenue Assessment Lists for Nevada, 1863-1866.</t>
  </si>
  <si>
    <t>M0780</t>
  </si>
  <si>
    <t>Internal Revenue Assessment Lists for New Hampshire, 1862-1866</t>
  </si>
  <si>
    <t>M0782</t>
  </si>
  <si>
    <t>Internal Revenue Assessment Lists for the Territory of New Mexico, 1862-1870, 1872-1874</t>
  </si>
  <si>
    <t>M0784</t>
  </si>
  <si>
    <t>Internal Revenue Assessment Lists for North Carolina, 1864-1866</t>
  </si>
  <si>
    <t>M0787</t>
  </si>
  <si>
    <t>Internal Revenue Assessment Lists for Pennsylvania, 1862-1866</t>
  </si>
  <si>
    <t>M0788</t>
  </si>
  <si>
    <t>Internal Revenue Assessment Lists for Rhode Island, 1862-1866</t>
  </si>
  <si>
    <t>M0789</t>
  </si>
  <si>
    <t>Internal Revenue Assessment Lists for South Carolina, 1864-1866</t>
  </si>
  <si>
    <t>M0791</t>
  </si>
  <si>
    <t>Internal Revenue Assessment Lists for Texas, 1865-1866</t>
  </si>
  <si>
    <t>M0792</t>
  </si>
  <si>
    <t>Internal Revenue Assessment Lists for Vermont, 1862-1866</t>
  </si>
  <si>
    <t>M0793</t>
  </si>
  <si>
    <t>Internal Revenue Assessment Lists for Virginia, 1862-1866</t>
  </si>
  <si>
    <t>M0795</t>
  </si>
  <si>
    <t>Internal Revenue Assessment Lists for West Virginia, 1862-1866</t>
  </si>
  <si>
    <t>M0797</t>
  </si>
  <si>
    <t>M0798</t>
  </si>
  <si>
    <t>Records of the Assistant Commissioner for the State of Georgia, Bureau of Refugees, Freedmen, and Abandoned Lands, 1865-1869.</t>
  </si>
  <si>
    <t>1256962, 5712182, 5712176, 5712178, 5712181, 5712184, 5712185, 5712180, 5712183</t>
  </si>
  <si>
    <t>M0799</t>
  </si>
  <si>
    <t>Records of the Superintendent of Education for the State of Georgia, Bureau of Refugees, Freedmen, and Abandoned Lands, 1865-1870.</t>
  </si>
  <si>
    <t>M0803</t>
  </si>
  <si>
    <t>Records of the Education Division of the Bureau of Refugees, Freedmen, and Abandoned Lands, 1865-1871.</t>
  </si>
  <si>
    <t>M0804</t>
  </si>
  <si>
    <t>Revolutionary War Pension and Bounty-Land Warrant Application Files</t>
  </si>
  <si>
    <t>M0809</t>
  </si>
  <si>
    <t>Records of the Assistant Commissioner for the State of Alabama, Bureau of Refugees, Freedmen, and Abandoned Lands, 1865-1870.</t>
  </si>
  <si>
    <t>M0810</t>
  </si>
  <si>
    <t>Records of the Superintendent of Education for the State of Alabama, Bureau of Refugees, Freedmen, and Abandoned Lands, 1865-1870.</t>
  </si>
  <si>
    <t>M0816</t>
  </si>
  <si>
    <t>Registers of Signatures of Depositors in Branches of the Freedman's Saving and Trust Company, 1865-1874</t>
  </si>
  <si>
    <t>M0821</t>
  </si>
  <si>
    <t>Records of the Assistant Commissioner for the State of Texas, Bureau of Refugees, Freedmen, and Abandoned Lands, 1865-1869.</t>
  </si>
  <si>
    <t>M0822</t>
  </si>
  <si>
    <t>Records of the Superintendent of Education for the State of Texas, Bureau of Refugees, Freedmen, and Abandoned Lands, 1865-1870.</t>
  </si>
  <si>
    <t>M0826</t>
  </si>
  <si>
    <t>Records of the Assistant Commissioner for the State of Mississippi, Bureau of Refugees, Freedmen, and Abandoned Lands, 1865-1869.</t>
  </si>
  <si>
    <t>617213, 635444, 7541369</t>
  </si>
  <si>
    <t>M0829</t>
  </si>
  <si>
    <t>U.S. Revolutionary War Bounty Land Warrants Used in the U.S. Military District of Ohio and Relating Papers (Acts of 1788, 1803, and 1806), 1788-1806</t>
  </si>
  <si>
    <t>M0835</t>
  </si>
  <si>
    <t>Select List of Photographs of Harry S. Truman, 1885-1953</t>
  </si>
  <si>
    <t>Multiple Record Groups</t>
  </si>
  <si>
    <t>M0836</t>
  </si>
  <si>
    <t>Confederate States Army Casualties: Lists and Narrative Reports, 1861-1865</t>
  </si>
  <si>
    <t>596306, 17027522</t>
  </si>
  <si>
    <t>M0841</t>
  </si>
  <si>
    <t>Record of Appointment of Postmasters, 1832-September 30, 1971.</t>
  </si>
  <si>
    <t>M0843</t>
  </si>
  <si>
    <t>Records of the Assistant Commissioner for the State of North Carolina, Bureau of Refugees, Freedmen, and Abandoned Lands, 1865-1870</t>
  </si>
  <si>
    <t>M0844</t>
  </si>
  <si>
    <t>Records of the Superintendent of Education for the State of North Carolina, Bureau of Refugees, Freedmen, and Abandoned Lands, 1865-1870.</t>
  </si>
  <si>
    <t>M0845</t>
  </si>
  <si>
    <t>Schedules of the Florida State Census of 1885.</t>
  </si>
  <si>
    <t>4923870, 4927019, 4926963, 4926993</t>
  </si>
  <si>
    <t>M0848</t>
  </si>
  <si>
    <t>War of 1812 Military Bounty Land Warrants, 1815-1858</t>
  </si>
  <si>
    <t>M0850</t>
  </si>
  <si>
    <t>Veterans Administration Pension Payment Cards, 1907-1933</t>
  </si>
  <si>
    <t>300355, 598155, 598162, 598217</t>
  </si>
  <si>
    <t>M0853</t>
  </si>
  <si>
    <t>Numbered Records Books Concerning Military Operations and Service, Pay and Settlement of Accounts, and Supplies in the War Department Collection of Revolutionary War Records</t>
  </si>
  <si>
    <t>M0859</t>
  </si>
  <si>
    <t>Miscellaneous Numbered Records (The Manuscript File) in the War Department Collection of Revolutionary War Records, 1775-1790s</t>
  </si>
  <si>
    <t>M0863</t>
  </si>
  <si>
    <t>M0865</t>
  </si>
  <si>
    <t>Selected Photographs of Franklin D. Roosevelt, 1913-1945</t>
  </si>
  <si>
    <t>M0866</t>
  </si>
  <si>
    <t>Records From the Constitutional Convention of 1787</t>
  </si>
  <si>
    <t>M0867</t>
  </si>
  <si>
    <t>Selected Photographs of Calvin Coolidge, 1917-1943</t>
  </si>
  <si>
    <t>M0868</t>
  </si>
  <si>
    <t>Selected Photographs of Dwight D. Eisenhower, 1943-1961</t>
  </si>
  <si>
    <t>M0869</t>
  </si>
  <si>
    <t>Records of the Assistant Commissioner for the State of South Carolina, Bureau of Refugees, Freedmen, and Abandoned Lands, 1865-1870.</t>
  </si>
  <si>
    <t>M0871</t>
  </si>
  <si>
    <t>General Index to Compiled Service Records of Volunteer Soldiers who Served During the War With Spain</t>
  </si>
  <si>
    <t>M0880</t>
  </si>
  <si>
    <t>Compiled Service Records of American Naval Personnel and Members of the Departments of the Quartermaster General and the Commissary General of Military Stores Who Served During the Revolutionary War</t>
  </si>
  <si>
    <t>M0881</t>
  </si>
  <si>
    <t>Compiled Service Records of Soldiers who Served in the American Army During the Revolutionary War</t>
  </si>
  <si>
    <t>M0885</t>
  </si>
  <si>
    <t>Criminal Case Files of the U.S. Circuit Court for the Southern District of New York, 1790-1853.</t>
  </si>
  <si>
    <t>M0901</t>
  </si>
  <si>
    <t>General Orders and Circulars of the Confederate War Department, 1861-1865</t>
  </si>
  <si>
    <t>M0905</t>
  </si>
  <si>
    <t>Carded Records Showing Military Service of Soldiers Who Served in Volunteer Units During the Post-Revolutionary War Period, Compiled 1899 - 1927, documenting the period 1784 - 1811</t>
  </si>
  <si>
    <t>M0907</t>
  </si>
  <si>
    <t>Index to Compiled Service Records of Volunteer Soldiers who Served During the Cherokee Disturbances and Removal in Organizations From the State of Georgia.</t>
  </si>
  <si>
    <t>M0908</t>
  </si>
  <si>
    <t>Index to Compiled Service Records of Vol. Soldiers who Served During the Cherokee Disturbances and Removal in Orgns. From the State of Tenn. and the Field and Staff of the Army of the Cherokee Nation.</t>
  </si>
  <si>
    <t>M0910</t>
  </si>
  <si>
    <t>Virginia Half Pay and Other Related Revolutionary War Pension Application Files</t>
  </si>
  <si>
    <t>M0918</t>
  </si>
  <si>
    <t>Register of Confederate Soldiers, Sailors, and Citizens Who Died in Federal Prisons and Military Hospitals in the North, 1913 - 1913</t>
  </si>
  <si>
    <t>M0923</t>
  </si>
  <si>
    <t>Records of the American Section of the Supreme War Council, 1917-19</t>
  </si>
  <si>
    <t>M0924</t>
  </si>
  <si>
    <t>Historical Files of the U.S. Expeditionary Force, North Russia, 1918-19</t>
  </si>
  <si>
    <t>M0928</t>
  </si>
  <si>
    <t>Prize and Related Records for the War of 1812 of the U.S. District Court for the Southern District of New York, 1812-16</t>
  </si>
  <si>
    <t>M0930</t>
  </si>
  <si>
    <t>Cablegrams Exchanged Between General Headquarters, American Expeditionary Forces, and the War Department, 1917-19</t>
  </si>
  <si>
    <t>M0979</t>
  </si>
  <si>
    <t>Records of the Assistant Commissioner for the State of Arkansas, Bureau of Refugees, Freedmen, and Abandoned Lands, 1865-1871.</t>
  </si>
  <si>
    <t>1696498, 1696510, 1696512, 1696501, 1696505, 1696509, 1696514, 1696513</t>
  </si>
  <si>
    <t>M0980</t>
  </si>
  <si>
    <t>Records of the Superintendent of Education for the State of Arkansas, Bureau of Refugees, Freedmen, and Abandoned Lands, 1865-1872.</t>
  </si>
  <si>
    <t>M0986</t>
  </si>
  <si>
    <t>Criminal Case Files of the U.S. Circuit Court for the Eastern District of Pennsylvania, 1791-1840.</t>
  </si>
  <si>
    <t>M0990</t>
  </si>
  <si>
    <t>Gorrell's History of the American Expeditionary Forces Air Service, 1917-1919</t>
  </si>
  <si>
    <t>3033255, 3033293</t>
  </si>
  <si>
    <t>M0991</t>
  </si>
  <si>
    <t>U.S. Naval Academy Registers of Delinquencies, 1846-1850, 1853-1882, and Academic and Conduct Records of Cadets, 1881-1908, 1846-1908</t>
  </si>
  <si>
    <t>M0995</t>
  </si>
  <si>
    <t>Papers and Minutes of Meetings of Principal World War II Allied Military Conferences, 1941-1945</t>
  </si>
  <si>
    <t>M0999</t>
  </si>
  <si>
    <t>Records of the Assistant Commissioner for the State of Tennessee, Bureau of Refugees, Freedmen, and Abandoned Lands, 1865-1869.</t>
  </si>
  <si>
    <t>1366993, 6210322, 6210324, 6210326, 6210327, 6210314, 6210321, 6210323, 6210328, 6210329, 6210316</t>
  </si>
  <si>
    <t>M1000</t>
  </si>
  <si>
    <t>Records of the Superintendent of Education for the State of Tennessee, Bureau of Refugees, Freedmen, and Abandoned Lands, 1865-1870.</t>
  </si>
  <si>
    <t>M1003</t>
  </si>
  <si>
    <t>Case Files of Applications From Former Confederates for Presidential Pardons ("Amnesty Papers") 1865-1867</t>
  </si>
  <si>
    <t>M1017</t>
  </si>
  <si>
    <t>Compiled Service Records of Former Confederate Soldiers who Served in the 1st Through 6th U.S. Volunteer Infantry Regiments, 1864-1866</t>
  </si>
  <si>
    <t>M1026</t>
  </si>
  <si>
    <t>Records of the Superintendent of Education for the State of Louisiana, Bureau of Refugees, Freedmen, and Abandoned Lands, 1864-1869.</t>
  </si>
  <si>
    <t>M1027</t>
  </si>
  <si>
    <t>War Department. Bureau of Refugees, Freedmen, and Abandoned Lands. Office of the Assistant Commissioner for Louisiana. (1865 - 1869)</t>
  </si>
  <si>
    <t>M1028</t>
  </si>
  <si>
    <t>Compiled Service Records of Volunteer Soldiers Who Served During the Mexican War From the State of Pennsylvania</t>
  </si>
  <si>
    <t>581208, 1801187</t>
  </si>
  <si>
    <t>M1030</t>
  </si>
  <si>
    <t>24, 45</t>
  </si>
  <si>
    <t>M1035</t>
  </si>
  <si>
    <t>WWII Foreign Military Studies, 1945-54</t>
  </si>
  <si>
    <t>M1048</t>
  </si>
  <si>
    <t>Records of the Assistant Commissioner for the State of Virginia, Bureau of Refugees, Freedmen, and Abandoned Lands, 1865-1869.</t>
  </si>
  <si>
    <t>M1053</t>
  </si>
  <si>
    <t>Records of the Superintendent of Education for the State of Virginia, Bureau of Refugees, Freedmen, and Abandoned Lands, 1865-1870.</t>
  </si>
  <si>
    <t>M1055</t>
  </si>
  <si>
    <t>War Department. Bureau of Refugees, Freedmen, and Abandoned Lands. Office of the Assistant Commissioner for the District of Columbia. (05/1865 - 05/1872)</t>
  </si>
  <si>
    <t>M1056</t>
  </si>
  <si>
    <t>Records of the Superintendent of Education for the District of Columbia, Bureau of Refugees, Freedmen, and Abandoned Lands, 1865-1872.</t>
  </si>
  <si>
    <t>M1064</t>
  </si>
  <si>
    <t>Letters Received by the Commission Branch of the Adjutant General's Office, 1863-1870</t>
  </si>
  <si>
    <t>M1085</t>
  </si>
  <si>
    <t>Investigative Case Files of the Bureau of Investigation 1908-1922</t>
  </si>
  <si>
    <t>M1086</t>
  </si>
  <si>
    <t>Compiled Service Records of Volunteer Soldiers who Served in Organizations From the State of Florida During the Florida Indian Wars (1817 - 1858)</t>
  </si>
  <si>
    <t>M1087</t>
  </si>
  <si>
    <t>Compiled Service Records of Volunteer Soldiers Who Served in the Florida Infantry During the War with Spain</t>
  </si>
  <si>
    <t>M1091</t>
  </si>
  <si>
    <t>Subject File of the Confederate States Navy, 1861-1865</t>
  </si>
  <si>
    <t>M1104</t>
  </si>
  <si>
    <t>Eastern Cherokee Applications</t>
  </si>
  <si>
    <t>28273465, 110121683</t>
  </si>
  <si>
    <t>M1140</t>
  </si>
  <si>
    <t>Secret and Confidential Correspondence of the Office of the Chief of Naval Operations and the Office of the Secretary of the Navy, 1919-1927</t>
  </si>
  <si>
    <t>4497864, 567443</t>
  </si>
  <si>
    <t>M1144</t>
  </si>
  <si>
    <t>Case Files of Chinese Immigrants from District No. 4 (Philadelphia) of the Immigration and Naturalization Series, 1895-1920</t>
  </si>
  <si>
    <t>M1148</t>
  </si>
  <si>
    <t>General Photographs of the Fine Arts Commission (Series G), CA. 1650-1950</t>
  </si>
  <si>
    <t>M1157</t>
  </si>
  <si>
    <t>Card and Microfilm Indexes to Photographic Negatives of U.S. and Foreign Naval Vessels</t>
  </si>
  <si>
    <t>M1164</t>
  </si>
  <si>
    <t>Index to Naturalization Petitions of the United States District Court for the Eastern District of New York, 1865-1957</t>
  </si>
  <si>
    <t>Fold3.com (1865-1906)</t>
  </si>
  <si>
    <t>Fold3.com (1906-1925)</t>
  </si>
  <si>
    <t>M1168</t>
  </si>
  <si>
    <t>Indexes to Naturalization Petitions to the U.S. Circuit and District Courts for Maryland, 1797-1951 (Index only)</t>
  </si>
  <si>
    <t>103403967, 104369470</t>
  </si>
  <si>
    <t>M1183</t>
  </si>
  <si>
    <t>Record of Admission to Citizenship, District of South Carolina, 1790-1906</t>
  </si>
  <si>
    <t>M1186</t>
  </si>
  <si>
    <t>Enrollment Cards for the Five Civilized Tribes, 1898-1914.</t>
  </si>
  <si>
    <t>M1192</t>
  </si>
  <si>
    <t>Naturalization Records Created by the U.S. District Court in Colorado, 1877-1952</t>
  </si>
  <si>
    <t>M1208</t>
  </si>
  <si>
    <t>Indexes to Registers and Registers of Declarations of Intention and Petitions for Naturalization of the U.S. District and Circuit Courts for the Western District of Pennsylvania, 1820-1906.</t>
  </si>
  <si>
    <t>M1222</t>
  </si>
  <si>
    <t>Records of the Bureau of Ships</t>
  </si>
  <si>
    <t>M1232</t>
  </si>
  <si>
    <t>Indexes to Naturalization Records of the U.S. District Court for Western Washington, Northern Division (Seattle), 1890-1952.</t>
  </si>
  <si>
    <t>M1233</t>
  </si>
  <si>
    <t>Indexes to Naturalization Records of King County Territorial and Superior Courts, 1864-1889 and 1906-1928.</t>
  </si>
  <si>
    <t>M1234</t>
  </si>
  <si>
    <t>Indexes to Naturalization Records of the Thurston County Territorial and Superior Courts, 1850-1974.</t>
  </si>
  <si>
    <t>M1235</t>
  </si>
  <si>
    <t>Indexes to Naturalization Records of the Snohomish County Territorial and Superior Courts, 1876-1974.</t>
  </si>
  <si>
    <t>M1236</t>
  </si>
  <si>
    <t>Indexes to Naturalization Records of the Montana Territorial and Federal Courts, 1868-1929.</t>
  </si>
  <si>
    <t>M1237</t>
  </si>
  <si>
    <t>Indexes to Naturalization Records of the U.S. District Court, Western District of Washington, Southern Division (Tacoma), 1890-1953.</t>
  </si>
  <si>
    <t>M1238</t>
  </si>
  <si>
    <t>Indexes to Naturalization Records of the Pierce County Territorial and Superior Courts, 1853-1923.</t>
  </si>
  <si>
    <t>M1241</t>
  </si>
  <si>
    <t>Indexes to the Naturalization Records of the U.S. District Court for the District and Territory of Alaska, 1900-1929.</t>
  </si>
  <si>
    <t>M1242</t>
  </si>
  <si>
    <t>Index to the Naturalization Records of the U.S. District Court for Oregon, 1859-1956.</t>
  </si>
  <si>
    <t>M1248</t>
  </si>
  <si>
    <t>Indexes to Naturalization Petitions to the U.S. Circuit and District Court for the Eastern District of Pennsylvania, 1795-1951</t>
  </si>
  <si>
    <t>647749, 6105243</t>
  </si>
  <si>
    <t>M1270</t>
  </si>
  <si>
    <t>Interrogation Records Prepared for War Crimes Proceedings at Nuremberg, 1945-1947 (Holocaust)</t>
  </si>
  <si>
    <t>M1274</t>
  </si>
  <si>
    <t>Case Files of Disapproved Pension Applications of Widows and Other Dependents of Civil War and Later Navy Veterans ("Navy Widows' Originals"), 1861-1910</t>
  </si>
  <si>
    <t>M1279</t>
  </si>
  <si>
    <t>Case Files of Approved Pension Applications of Widows and Other Dependents of Civil War and Later Navy Veterans (Navy Widows' Certificates), 1861-1910</t>
  </si>
  <si>
    <t>M1285</t>
  </si>
  <si>
    <t>Soundex Index to Naturalization Petitions for the United States District and Circuit Courts, Northern District of Illinois and Immigration and Naturalization Service District 9, 1840-1950</t>
  </si>
  <si>
    <t>M1299</t>
  </si>
  <si>
    <t>Index to New England Naturalization Petitions, 1791-1906</t>
  </si>
  <si>
    <t>617283, 650147, 650078</t>
  </si>
  <si>
    <t>M1301</t>
  </si>
  <si>
    <t>Applications for Enrollment of the Commission to the Five Civilized Tribes, 1898-1914.</t>
  </si>
  <si>
    <t>M1303</t>
  </si>
  <si>
    <t>Selected Records of the War Department Commissary General of Prisoners Relating to Federal Prisoners of War Confined at Andersonville, GA, 1864-65</t>
  </si>
  <si>
    <t>M1320</t>
  </si>
  <si>
    <t>Passenger and Crew Lists of Vessels (February 1929-February 1959) and Airplanes (April 1946-February 1959) Arriving at Bridgeport, Groton, Hartford, New Haven, and New London, Connecticut</t>
  </si>
  <si>
    <t>M1321</t>
  </si>
  <si>
    <t>Passenger Lists of Vessels Arriving at Gloucester, Massachusetts, October 1906 - March, 1942.</t>
  </si>
  <si>
    <t>M1343</t>
  </si>
  <si>
    <t>Applications for Enrollment and Allotment of Washington Indians, 1911-1919</t>
  </si>
  <si>
    <t>M1359</t>
  </si>
  <si>
    <t>Passenger Lists of Vessels Arriving at Galveston, Texas, 1896-1951</t>
  </si>
  <si>
    <t>M1360</t>
  </si>
  <si>
    <t>Admiralty Final Record Books of the U.S. District Court for the Southern District of Florida (Key West), 1829-1911</t>
  </si>
  <si>
    <t>M1364</t>
  </si>
  <si>
    <t>Lists of Chinese Passengers Arriving at Seattle (Port Townsend), Washington, 1882-1916.</t>
  </si>
  <si>
    <t>M1365</t>
  </si>
  <si>
    <t>Certificates of Head Tax Paid by Aliens Arriving at Seattle From Foreign Contiguous Territory, 1917-1924.</t>
  </si>
  <si>
    <t>M1368</t>
  </si>
  <si>
    <t>Petitions and Records of Naturalizations of the U.S. District and Circuit Courts of the District of Massachusetts, 1906-1929</t>
  </si>
  <si>
    <t>M1371</t>
  </si>
  <si>
    <t>Registers and Indexes for Passport Applications, 1810-1906</t>
  </si>
  <si>
    <t>M1372</t>
  </si>
  <si>
    <t>Passport Applications, 1795-1905</t>
  </si>
  <si>
    <t>7373711, 305256</t>
  </si>
  <si>
    <t>M1380</t>
  </si>
  <si>
    <t>Missing Air Crew Reports (MACRs) of the U.S. Army Air Forces, 1941-1948</t>
  </si>
  <si>
    <t>M1386</t>
  </si>
  <si>
    <t>Passenger and Crew Lists of Airplanes Arriving at Seattle, Washington, March 1947 - November 1954</t>
  </si>
  <si>
    <t>M1387</t>
  </si>
  <si>
    <t>Minutes of the Boards of Special Inquiry at the San Francisco Immigration Office, 1899-1909.</t>
  </si>
  <si>
    <t>M1388</t>
  </si>
  <si>
    <t>Registers of Persons Held for Boards of Special Inquiry at the San Francisco, California, Immigration Office, February 1910-May 1941.</t>
  </si>
  <si>
    <t>M1395</t>
  </si>
  <si>
    <t>Letters Received by the Appointment, Commission and Personal Branch, Adjutant General's Office, 1871-1894</t>
  </si>
  <si>
    <t>M1398</t>
  </si>
  <si>
    <t>Passenger Lists of Vessels Arriving at Seattle, Washington, 1949-1954.</t>
  </si>
  <si>
    <t>M1399</t>
  </si>
  <si>
    <t>Crew Lists of Vessels Arriving at Seattle, Washington, 1903-1917.</t>
  </si>
  <si>
    <t>M1401</t>
  </si>
  <si>
    <t>Territorial Case Files of the U.S. District Courts of Utah 1870-1896,</t>
  </si>
  <si>
    <t>562207, 562208</t>
  </si>
  <si>
    <t>M1407</t>
  </si>
  <si>
    <t>Barred and Disallowed Case Files of the Southern Claims Commission, 1871-1880.</t>
  </si>
  <si>
    <t>M1408</t>
  </si>
  <si>
    <t>Case files of Disapproved Pension Applications of Civil War and Later Navy Veterans ("Navy Survivors' Originals"), 1861-1910</t>
  </si>
  <si>
    <t>M1410</t>
  </si>
  <si>
    <t>Passenger Lists of Vessels Arriving at San Francisco, CA, 1893-1953</t>
  </si>
  <si>
    <t>M1411</t>
  </si>
  <si>
    <t>Passenger and Crew Lists of Vessels Arriving at San Francisco, 1954-1957.</t>
  </si>
  <si>
    <t>M1412</t>
  </si>
  <si>
    <t>Customs Passenger Lists of Vessels Arriving at San Francisco, 1903-1918.</t>
  </si>
  <si>
    <t>M1413</t>
  </si>
  <si>
    <t>Registers of Chinese Laborers Returning to the U.S. through the Port of San Francisco, 1882-1888</t>
  </si>
  <si>
    <t>M1414</t>
  </si>
  <si>
    <t>Lists of Chinese Passenger Arrivals at San Francisco, California, 8/9/1882 - 12/25/1914</t>
  </si>
  <si>
    <t>M1416</t>
  </si>
  <si>
    <t>Crew Lists of Vessels Arriving at San Francisco, 1905-1954.</t>
  </si>
  <si>
    <t>M1417</t>
  </si>
  <si>
    <t>Index (Soundex) to Passengers Arriving in New York, New York, 1944-1948</t>
  </si>
  <si>
    <t>M1438</t>
  </si>
  <si>
    <t>Passenger Lists of Vessels Arriving at San Francisco from Insular Possessions, 1907-1911.</t>
  </si>
  <si>
    <t>M1439</t>
  </si>
  <si>
    <t>Lists of U.S. Citizens Arriving at San Francisco, 1930-1949.</t>
  </si>
  <si>
    <t>M1440</t>
  </si>
  <si>
    <t>Correspondence of the Military Intelligence Division Relating to "Negro Subversion", 1917-1941.</t>
  </si>
  <si>
    <t>M1442</t>
  </si>
  <si>
    <t>Records of the Department of State Relating to Internal Affairs of France, 1930-1939</t>
  </si>
  <si>
    <t>M1461</t>
  </si>
  <si>
    <t>Soundex Index to Canadian Border Entries through the St. Albans, Vermont, District, 1895-1924</t>
  </si>
  <si>
    <t>M1462</t>
  </si>
  <si>
    <t>Alphabetical Index to Canadian Border Entries Through Small Ports in Vermont, 1895-1924</t>
  </si>
  <si>
    <t>M1463</t>
  </si>
  <si>
    <t>Soundex Index to Entries into the St. Albans, Vermont, District through Canadian Pacific and Atlantic Ports, 1924-1952</t>
  </si>
  <si>
    <t>M1464</t>
  </si>
  <si>
    <t>Manifest of Passengers Arriving in the St. Albans, VT, District through Canadian Pacific and Atlantic Ports, 1895-1954</t>
  </si>
  <si>
    <t>M1465</t>
  </si>
  <si>
    <t>Manifest of Passengers Arriving in the St. Albans, Vermont, District through Canadian Pacific Ports, 1929-1949</t>
  </si>
  <si>
    <t>M1469</t>
  </si>
  <si>
    <t>Case files of approved pension applications of Civil War and later Navy veterans (Navy Survivor's Certificates), 1861-1910.</t>
  </si>
  <si>
    <t>M1477</t>
  </si>
  <si>
    <t>Passenger Lists of Vessels Arriving at Baltimore, MD, 1954-1957</t>
  </si>
  <si>
    <t>M1478</t>
  </si>
  <si>
    <t>Card Manifests (Alphabetical) of Individuals Entering through the Port of Detroit, Michigan, 1906-1954</t>
  </si>
  <si>
    <t>M1479</t>
  </si>
  <si>
    <t>Passenger and Alien Crew Lists of Vessels Arriving at the Port of Detroit, Michigan, 1946-1957</t>
  </si>
  <si>
    <t>M1480</t>
  </si>
  <si>
    <t>Manifests of alien arrivals at Buffalo, Niagara Falls, and Rochester, New York, 1902-1954</t>
  </si>
  <si>
    <t>M1481</t>
  </si>
  <si>
    <t>Alphabetical Card Manifests of Alien Arrivals at Alexandria Bay, Cape Vincent, Champlain, Clayton, Fort Covington, Moers, Rouses Point, Thousand Island Bridge and Trout River, New York, 7/1929 - 4/1956</t>
  </si>
  <si>
    <t>M1482</t>
  </si>
  <si>
    <t>Soundex Card Manifests of Alien and Citizen Arrivals at Hogansburg, Malone, Morristown, Nyando, Ogdensburg, Rooseveltown and Waddington, New York, July 1929-April 1956</t>
  </si>
  <si>
    <t>M1483</t>
  </si>
  <si>
    <t>Records of the New Orleans Field Offices, Bureau of Refugees, Freedmen, and Abandoned Lands, 1865-1869.</t>
  </si>
  <si>
    <t>M1484</t>
  </si>
  <si>
    <t>Customs Passenger Lists of Vessels Arriving at Port Townsend and Tacoma, Washington, 1894-1909.</t>
  </si>
  <si>
    <t>M1485</t>
  </si>
  <si>
    <t>Passenger Lists of Vessels Arriving at Seattle From Insular Possessions, 1908-1917.</t>
  </si>
  <si>
    <t>M1490</t>
  </si>
  <si>
    <t>Passport Applications, January 2, 1906 - March 31, 1925</t>
  </si>
  <si>
    <t>M1494</t>
  </si>
  <si>
    <t>Passenger lists of Vessels Arriving at San Francisco from Honolulu, 1902-1907</t>
  </si>
  <si>
    <t>567441, 4483061</t>
  </si>
  <si>
    <t>M1500</t>
  </si>
  <si>
    <t>Records of the Special Boards of Inquiry, District No. 4 (Philadelphia), Immigration and Naturalization Service, 1893-1909</t>
  </si>
  <si>
    <t>M1502</t>
  </si>
  <si>
    <t>Statistical and Nonstatistical Manifests of Alien Arrival at Brownsville, Texas, February 1905 - June 1953.</t>
  </si>
  <si>
    <t>M1503</t>
  </si>
  <si>
    <t>Indexes and Manifests of Alien Arrivals at Roma, Texas, March 1928 - May 1955</t>
  </si>
  <si>
    <t>M1504</t>
  </si>
  <si>
    <t>Manifests of Alien Arrivals at San Luis, Arizona, July 24, 1929 - December 1952</t>
  </si>
  <si>
    <t>M1506</t>
  </si>
  <si>
    <t>The Stars and Stripes: Newspaper of the U.S. Armed Forces in Europe, the Mediterranean, and North Africa, 1942-1964.</t>
  </si>
  <si>
    <t>M1509</t>
  </si>
  <si>
    <t>World War I Selective Service System Draft Registration Cards, 1917-1918</t>
  </si>
  <si>
    <t>M1518</t>
  </si>
  <si>
    <t>Ratified Amendments XI-XXVII of the U. S. Constitution</t>
  </si>
  <si>
    <t>567321, 573414, 279082</t>
  </si>
  <si>
    <t>M1522</t>
  </si>
  <si>
    <t>Naturalization Petitions for the Eastern District of Pennsylvania, 1795-1930</t>
  </si>
  <si>
    <t>M1524</t>
  </si>
  <si>
    <t>Naturalization Records of the United States District Court for the Southern District of California, Central Division (Los Angeles), 1887-1940.</t>
  </si>
  <si>
    <t>M1525</t>
  </si>
  <si>
    <t>Naturalization Index Cards of the U.S. District Court for the Southern District of California, Central Division (Los Angeles), 1915-1976.</t>
  </si>
  <si>
    <t>M1526</t>
  </si>
  <si>
    <t>Index to Naturalized Citizens From the Superior Court of San Diego, California, 1868-1958.</t>
  </si>
  <si>
    <t>M1528</t>
  </si>
  <si>
    <t>Non-Population Census Schedules for the State of Kentucky, 1850-1880.</t>
  </si>
  <si>
    <t>2837692, 2848433</t>
  </si>
  <si>
    <t>M1537</t>
  </si>
  <si>
    <t>Naturalization Petitions of the U.S. District Court, 1820-1930, and Circuit Court, 1820-1911, for the Western District of Pennsylvania.</t>
  </si>
  <si>
    <t>M1538</t>
  </si>
  <si>
    <t>Naturalization Records of the U.S. District Courts for the State of Montana, 1891-1929</t>
  </si>
  <si>
    <t>M1539</t>
  </si>
  <si>
    <t>Naturalization Records of the U.S. District Courts for the State of Alaska, 1900-1924.</t>
  </si>
  <si>
    <t>M1540</t>
  </si>
  <si>
    <t>Naturalization Records for the U.S. District Court for the District of Oregon, 1859-1941</t>
  </si>
  <si>
    <t>M1541</t>
  </si>
  <si>
    <t>Naturalization Records for the U.S. District Court for the Eastern District of Washington, 1890-1972.</t>
  </si>
  <si>
    <t>M1542</t>
  </si>
  <si>
    <t>Naturalization Records for the U.S. District Court for the Western District of Washington, 1890-1957</t>
  </si>
  <si>
    <t>M1543</t>
  </si>
  <si>
    <t>Naturalization Records for the Superior Court for King, Pierce, Thurston, and Snohomoish Counties, Washington, 1850-1974</t>
  </si>
  <si>
    <t>M1545</t>
  </si>
  <si>
    <t>Index to Petitions and Records of Naturalizations of the U.S. and District Courts for the District of Massachusetts, 1907-1966</t>
  </si>
  <si>
    <t>M1547</t>
  </si>
  <si>
    <t>Naturalization Records of District Courts in the Southeast, 1790-1958</t>
  </si>
  <si>
    <t>M1606</t>
  </si>
  <si>
    <t>Index Cards to Overseas Military Petitions of the U.S. District Court for the Southern District of California, Central Division (Los Angeles), 1943-1956.</t>
  </si>
  <si>
    <t>M1607</t>
  </si>
  <si>
    <t>Index to Naturalization Records of the U.S. District for the Southern District of California, Central Division (Los Angeles), 1887-1937.</t>
  </si>
  <si>
    <t>M1608</t>
  </si>
  <si>
    <t>Naturalization Index of the Superior Court for Los Angeles County, California, 1852-1915.</t>
  </si>
  <si>
    <t>M1609</t>
  </si>
  <si>
    <t>Index to Citizens Naturalized in the Superior Court of San Diego, California, 1853-1956</t>
  </si>
  <si>
    <t>M1610</t>
  </si>
  <si>
    <t>Chinese immigrant INS case files, El Paso, TX, 1892-1915</t>
  </si>
  <si>
    <t>M1611</t>
  </si>
  <si>
    <t>Index to Naturalization Records of the U.S. District for the Eastern District of Tennessee at Chattanooga, 1888-1955.</t>
  </si>
  <si>
    <t>M1612</t>
  </si>
  <si>
    <t>Index to Declarations of Intention in the Superior Court of San Diego County, California, 1853-1956.</t>
  </si>
  <si>
    <t>7560873, 7570340, 7560827</t>
  </si>
  <si>
    <t>M1613</t>
  </si>
  <si>
    <t>Naturalization Records in the Superior Court of San Diego, California, 1883-1958.</t>
  </si>
  <si>
    <t>7821340, 7822058, 7820234</t>
  </si>
  <si>
    <t>M1614</t>
  </si>
  <si>
    <t>Naturalization Records in the Superior Court of Los Angeles, California, 1876-1915.</t>
  </si>
  <si>
    <t>M1615</t>
  </si>
  <si>
    <t>Naturalization Records of U.S. District Court for the Territory of Arizona, 1864-1915.</t>
  </si>
  <si>
    <t>M1616</t>
  </si>
  <si>
    <t>Naturalization Records of the U.S. District Court for the District of Arizona, 1912-1955.</t>
  </si>
  <si>
    <t>M1619</t>
  </si>
  <si>
    <t>McNeil Island Penitentiary Records, 1887-1951</t>
  </si>
  <si>
    <t>M1624</t>
  </si>
  <si>
    <t>Stars and Stripes: Newspaper of the U.S. Armed Forces in the Pacific, 1945-1963.</t>
  </si>
  <si>
    <t>M1626</t>
  </si>
  <si>
    <t>Naturalization Petitions of the U.S. Circuit and District Courts for the Middle District of Pennsylvania, 1906-1930.</t>
  </si>
  <si>
    <t>M1631</t>
  </si>
  <si>
    <t>Internal Revenue Assessment Lists, Oregon District, 1867-1873</t>
  </si>
  <si>
    <t>567252, 4486342</t>
  </si>
  <si>
    <t>M1638</t>
  </si>
  <si>
    <t>Immigration and Naturalization Service Case Files of Chinese Immigrants, Portland, Oregon, 1890-1914</t>
  </si>
  <si>
    <t>M1639</t>
  </si>
  <si>
    <t>Landing Reports of Aliens From the U.S. District Court for the Eastern District of Pennsylvania, 1798-1828</t>
  </si>
  <si>
    <t>3083600, 654310</t>
  </si>
  <si>
    <t>M1640</t>
  </si>
  <si>
    <t>Naturalization Petitions of the US District Court for the District of Maryland, 1906-1930</t>
  </si>
  <si>
    <t>M1643</t>
  </si>
  <si>
    <t>Naturalization Petitions of the US District Court for the Northern District of West Virginia, Wheeling, 1856-1867</t>
  </si>
  <si>
    <t>26457725, 567323, 580014</t>
  </si>
  <si>
    <t>M1644</t>
  </si>
  <si>
    <t>Naturalization Petitions of the U.S. District and Circuit Courts for the District of Delaware, 1795-1930.</t>
  </si>
  <si>
    <t>M1645</t>
  </si>
  <si>
    <t>Naturalization Petitions of the U.S. District Court for the Western District of Virginia (Abingdon), 1914-1929</t>
  </si>
  <si>
    <t>M1646</t>
  </si>
  <si>
    <t>Naturalization Petitions of the U.S. District Court for the Western District of Virginia (Charlottesville), 1910-1929</t>
  </si>
  <si>
    <t>5661946, 1168978</t>
  </si>
  <si>
    <t>M1647</t>
  </si>
  <si>
    <t>Naturalization Petitions of the U.S. District and Circuit Courts for the Eastern District of Virginia (Richmond), 1906-1929</t>
  </si>
  <si>
    <t>874102, 874103</t>
  </si>
  <si>
    <t>M1648</t>
  </si>
  <si>
    <t>Naturalization Petitions of the U.S. District and Circuit Courts for the Eastern District of Virginia (Alexandria), 1909-1920</t>
  </si>
  <si>
    <t>M1649</t>
  </si>
  <si>
    <t>Index to Naturalization Petitions for the U.S. Circuit Court, 1795-1911, and the U.S. District Court, 1795-1928, for the District of Delaware, 1795-1928.</t>
  </si>
  <si>
    <t>M1650</t>
  </si>
  <si>
    <t>Applications From the Bureau of Indian Affairs, Muskogee Area Office, Relating to Enrollment in the Five Civilized Tribes under the Act of 1896.</t>
  </si>
  <si>
    <t>305890, 561744, 561913</t>
  </si>
  <si>
    <t>M1653</t>
  </si>
  <si>
    <t>U.S. Strategic Bombing Survey (Pacific): Japanese Air Target Analyses, Objective Folders, and Aerial Photographs, 1942-45</t>
  </si>
  <si>
    <t>M1658</t>
  </si>
  <si>
    <t>Southern Claims Commission Approved Claims: Georgia, 1871-1880</t>
  </si>
  <si>
    <t>M1659</t>
  </si>
  <si>
    <t>Records of the Fifty-fourth Massachusetts Infantry Regiment (Colored), 1863-1865</t>
  </si>
  <si>
    <t>M1674</t>
  </si>
  <si>
    <t>Soundex Index to Petitions for Naturalizations Filed in Federal, State, and Local Courts in New York City, 1792-1906</t>
  </si>
  <si>
    <t>M1675</t>
  </si>
  <si>
    <t>Alphabetical Index to Declarations of Intention of the U.S. District Court for the Southern District of New York, 1917-1950</t>
  </si>
  <si>
    <t>M1676</t>
  </si>
  <si>
    <t>Alphabetical Index to Petitions for Naturalization of the U.S. District Court for the Southern District of New York, 1824-1941</t>
  </si>
  <si>
    <t>M1677</t>
  </si>
  <si>
    <t>Alphabetical Index to Petitions for Naturalization of the U.S. District Court for the Western District of New York, 1906-1966</t>
  </si>
  <si>
    <t>M1733</t>
  </si>
  <si>
    <t>Photographs of Japanese Soldiers and of Allied Prisoners of War, 1942-1945.</t>
  </si>
  <si>
    <t>2524850, 627454, 605234, 605504</t>
  </si>
  <si>
    <t>M1744</t>
  </si>
  <si>
    <t>Index To Naturalization In The U.S. District Court For The Northern District Of California, 1852 - ca. 1989</t>
  </si>
  <si>
    <t>M1746</t>
  </si>
  <si>
    <t>Final Revolutionary War Pension Payment Vouchers: Georgia</t>
  </si>
  <si>
    <t>M1747</t>
  </si>
  <si>
    <t>Index to Records Relating to War of 1812, Prisoners of War, 1812.</t>
  </si>
  <si>
    <t>M1749</t>
  </si>
  <si>
    <t>Historical Register Of National Homes For Disabled Volunteer Soldiers, 1866-1938</t>
  </si>
  <si>
    <t>M1752</t>
  </si>
  <si>
    <t>U.S. Submarine War Patrol Reports, 1941-1945</t>
  </si>
  <si>
    <t>593465, 2240989</t>
  </si>
  <si>
    <t>M1753</t>
  </si>
  <si>
    <t>Records Relating to the Various Cases Involving the Spanish Schooner AMISTAD, 1815-1858</t>
  </si>
  <si>
    <t>M1754</t>
  </si>
  <si>
    <t>Nonstatistical Manifest and Statistical Index Cards of Aliens Arriving at Eagle Pass, Texas, compiled 06/1905 - 11/1929</t>
  </si>
  <si>
    <t>4529417, 4529406</t>
  </si>
  <si>
    <t>M1755</t>
  </si>
  <si>
    <t>Permanent and Statistical Manifests of Alien Arrivals at Eagle Pass, Texas, June 1905 - June 1953</t>
  </si>
  <si>
    <t>M1756</t>
  </si>
  <si>
    <t>Applications for Nonresident Alien's Border Crossing Identification Cards Made at El Paso, Texas, ca. July 1945 - December 1952.</t>
  </si>
  <si>
    <t>M1757</t>
  </si>
  <si>
    <t>Manifests of Aliens Granted Temporary Admission at El Paso, Texas, ca. July 1924 - 1954</t>
  </si>
  <si>
    <t>M1759</t>
  </si>
  <si>
    <t>Nonstatistical Manifests and Statistical Index Cards of Aliens Arriving at Douglas, Arizona, July 1908 - December 1952</t>
  </si>
  <si>
    <t>1257007, 4529616</t>
  </si>
  <si>
    <t>M1760</t>
  </si>
  <si>
    <t>Manifests of Permanent and Temporary Alien Arrivals at Douglas, Arizona, September 10, 1906 - October 10, 1955</t>
  </si>
  <si>
    <t>M1762</t>
  </si>
  <si>
    <t>Southern Claims Commission Approved Claims, 1871-1880: West Virginia.</t>
  </si>
  <si>
    <t>M1764</t>
  </si>
  <si>
    <t>Passenger Lists of Vessels Arriving at San Pedro/Wilmington/Los Angeles, California, June 29, 1907 - June 30, 1948</t>
  </si>
  <si>
    <t>M1766</t>
  </si>
  <si>
    <t>Alphabetical Card Manifests of Alien Arrivals at Fort Hancock, Texas, 1924-1954</t>
  </si>
  <si>
    <t>M1767</t>
  </si>
  <si>
    <t>Manifests of Alien Arrivals at San Ysidro (Tia Juana), California, April 21, 1908 - December 1952</t>
  </si>
  <si>
    <t>M1768</t>
  </si>
  <si>
    <t>Alphabetical Card Manifests of Alien Arrivals at Fabens, Texas, July 1924-1954</t>
  </si>
  <si>
    <t>M1769</t>
  </si>
  <si>
    <t>Index and manifests of alien arrivals at Nogales, Arizona, 1905-52</t>
  </si>
  <si>
    <t>M1770</t>
  </si>
  <si>
    <t>Indexes and Manifests of Alien Arrivals at Rio Grande City, Texas, November 1908 - May 1955</t>
  </si>
  <si>
    <t>M1771</t>
  </si>
  <si>
    <t>Alphabetical Manifests of Non-Mexican Aliens Granted Temporary Admission at Laredo, Texas, December 1, 1929 - April 1955</t>
  </si>
  <si>
    <t>M1772</t>
  </si>
  <si>
    <t>Manifests of Aliens Granted Temporary Admission at Laredo, Texas, December 1, 1929-April 8, 1955</t>
  </si>
  <si>
    <t>M1774</t>
  </si>
  <si>
    <t>Passenger and Crew Lists of Vessels (March 1931-March 1957) and Airplanes (December 1954-March 1957) Arriving at Brownsville, Texas.</t>
  </si>
  <si>
    <t>M1775</t>
  </si>
  <si>
    <t>Internal Revenue Service Tax Assessment Lists for Colorado and Wyoming, 1873-1918.</t>
  </si>
  <si>
    <t>M1776</t>
  </si>
  <si>
    <t>Internal Revenue Service Tax Assessment Lists for New Mexico and Arizona, 1883-1917.</t>
  </si>
  <si>
    <t>M1777</t>
  </si>
  <si>
    <t>Passenger and Crew Lists of Vessels Arriving at Astoria, Portland, and Other Oregon Ports, Apr. 1888-Oct. 1956, and Passenger Lists of Airplanes Arriving at Portland, Oregon, Nov. 1948-Oct. 1952.</t>
  </si>
  <si>
    <t>M1778</t>
  </si>
  <si>
    <t>1537319, 1537337</t>
  </si>
  <si>
    <t>M1782</t>
  </si>
  <si>
    <t>WWII OSS Art Looting Investigation Reports</t>
  </si>
  <si>
    <t>M1784</t>
  </si>
  <si>
    <t>Index to Pension Application Files of Remarried Widows Based on Service in the War of 1812, Indian Wars, Mexican War, and Regular Army before 1861</t>
  </si>
  <si>
    <t>M1785</t>
  </si>
  <si>
    <t>Index to Pension Application Files of Remarried Widows Based on Service in the Civil War and Later Wars and in the Regular Army after the Civil War</t>
  </si>
  <si>
    <t>M1786</t>
  </si>
  <si>
    <t>Pension Payment Roll of Veterans of the Revolutionary War and the Regular Army and Navy, 3/1801 - 9/1815</t>
  </si>
  <si>
    <t>M1787</t>
  </si>
  <si>
    <t>Compiled Service Records of Volunteer Union Soldiers Who Served in Organizations From the Territory of Nebraska.</t>
  </si>
  <si>
    <t>719404, 719506, 657133, 730944, 731293</t>
  </si>
  <si>
    <t>M1788</t>
  </si>
  <si>
    <t>Indexes To Naturalization Records of the U.S. District Court for the District Territory, and State of Alaska (Third Division), 1903-1991</t>
  </si>
  <si>
    <t>M1789</t>
  </si>
  <si>
    <t>Compiled Service Records of Volunteer Union Soldiers Who Served in Organizations From the Territory and State of Nevada.</t>
  </si>
  <si>
    <t>M1791</t>
  </si>
  <si>
    <t>Schedules of a Special Census of Indians, 1880.</t>
  </si>
  <si>
    <t>M1801</t>
  </si>
  <si>
    <t>Compiled Military Service Records of Volunteer Union Soldiers Who Served With the United States Colored Troops: 55th Massachusetts Infantry (Colored)</t>
  </si>
  <si>
    <t>M1804</t>
  </si>
  <si>
    <t>Second Census of the United States, 1800: Population Schedules, Washington County, Territory Northwest of the River Ohio; and Population Census, 1803: Washington County, Ohio</t>
  </si>
  <si>
    <t>M1816</t>
  </si>
  <si>
    <t>Compiled Service Records of Volunteer Union Soldiers Who Served in Organizations From the State of Oregon.</t>
  </si>
  <si>
    <t>M1817</t>
  </si>
  <si>
    <t>Compiled Military Service Records of Volunteer Union Soldiers Who Served With the United States Colored Troops: 1st through 5th United States Colored Cavalry; 5th Massachusetts Cavalry (Colored); 6th United States Colored Cavalry</t>
  </si>
  <si>
    <t>M1818</t>
  </si>
  <si>
    <t>Compiled Military Service Records Of Volunteer Union Soldiers Who Served With The United States Colored Troops: Artillery Organizations</t>
  </si>
  <si>
    <t>M1819</t>
  </si>
  <si>
    <t>Compiled Military Service Records of Volunteer Union Soldiers Who Served With the United States Colored Troops: 1st U.S. Colored Infantry, 1st South Carolina Volunteers (Colored) Company A, 1st U.S. Colored Infantry (1 Year)</t>
  </si>
  <si>
    <t>M1820</t>
  </si>
  <si>
    <t>Compiled Military Service Records of Volunteer Union Soldiers Who Served With the United States Colored Troops, 2nd through 7th Colored Infantry: 2d through 7th Colored Infantry, including 3d Tennessee Volunteers (African Descent); 6th Louisiana Infantry (African Descent); and 7th Louisiana Infantry (African Descent)</t>
  </si>
  <si>
    <t>M1821</t>
  </si>
  <si>
    <t>Compiled Service Records of Volunteer Union Soldiers Who Served with the United States Colored Troops: Infantry Organizations, 8th through 13th, including the 11th</t>
  </si>
  <si>
    <t>M1822</t>
  </si>
  <si>
    <t>Compiled military service records of volunteer Union soldiers who served with the United States Colored Troops, Infantry Organizations: 14th-19th</t>
  </si>
  <si>
    <t>M1823</t>
  </si>
  <si>
    <t>Compiled Military Service Records of Volunteer Union Soldiers Who Served With the United States Colored Troops: Infantry Organizations, 20th through 25th.</t>
  </si>
  <si>
    <t>M1824</t>
  </si>
  <si>
    <t>Compiled Military Service Records of Volunteer Union Soldiers Who Served With the United States Colored Troops: Infantry Organizations, 26th through 30th, including the 29th Connecticut Infantry (Colored)</t>
  </si>
  <si>
    <t>M1825</t>
  </si>
  <si>
    <t>Proofs of Citizenship Used to Apply for Seamen's Protection Certificates at the Ports of Bath, Maine, 1833, 1836, 1839-50, 1853-65, 1867-68; and at Portsmouth, New Hampshire, 1857-58</t>
  </si>
  <si>
    <t>M1826</t>
  </si>
  <si>
    <t>Proofs of Citizenship Used To Apply For Seamen's Protection Certificates for the Port of New Orleans, Louisiana, 1800, 1802, 1804-1812, 1814-1816, 1818-1819, 1821, 1850-1851, 1855-1857</t>
  </si>
  <si>
    <t>M1829</t>
  </si>
  <si>
    <t>Compiled Military Service Records of Maj. Uriah Blue's Detachment of Chickasaw Indians in the War of 1812</t>
  </si>
  <si>
    <t>M1832</t>
  </si>
  <si>
    <t>Returns of Killed and Wounded in Battles or Engagements with Indians, British Troops, and Mexican Troops, compiled 1850 - 1851, documenting the period 1790 - 1848</t>
  </si>
  <si>
    <t>5634802, 5634865</t>
  </si>
  <si>
    <t>M1838</t>
  </si>
  <si>
    <t>Non-Population Census Schedules for Pennsylvania, 1850-1880: Mortality</t>
  </si>
  <si>
    <t>M1842</t>
  </si>
  <si>
    <t>Passenger Lists of Vessels Arriving at Georgetown, South Carolina, 1923 - 1939, and at Apalachicola, Boynton, Boca Grande, Carrabelle, Fernandina, Fort Pierce, Hobe Sound, Lake Worth, Mayport, Millville, Port Inglis, Port St. Joe, St. Andrews, and Stuart, Florida, 1904 - 1942</t>
  </si>
  <si>
    <t>M1852</t>
  </si>
  <si>
    <t>Records of Persons Held for Boards of Special Inquiry at the San Pedro, California, Office, November 3, 1930-September 27, 1936</t>
  </si>
  <si>
    <t>M1865</t>
  </si>
  <si>
    <t>Final accountability rosters of evacuees at relocation centers, 1944-1946</t>
  </si>
  <si>
    <t>M1876</t>
  </si>
  <si>
    <t>Nonpopulation Census Schedules for Hawaii, 1930: Agriculture.</t>
  </si>
  <si>
    <t>M1879</t>
  </si>
  <si>
    <t>Petitions for Naturalization of the U.S. District Court for the Eastern District of New York, 1865-1937.</t>
  </si>
  <si>
    <t>M1880</t>
  </si>
  <si>
    <t>Proofs of Citizenship Used to Apply for Seamen's Certificates for the Port of Philadelphia, Pennsylvania, 1792-1861</t>
  </si>
  <si>
    <t>2791208,  2791195</t>
  </si>
  <si>
    <t>M1882</t>
  </si>
  <si>
    <t>Schedules of the 1935 Special Censuses of Puerto Rico: The Agricultural Schedules, 1935</t>
  </si>
  <si>
    <t>M1883</t>
  </si>
  <si>
    <t>Selected Records of the Danish West Indies, 1672-1917: Essential Records Concerning Emancipation and Slavery.</t>
  </si>
  <si>
    <t>M1895</t>
  </si>
  <si>
    <t>Slave Manifests of Coastwise Vessels Filed at New Orleans, Louisiana, 1807-1860.</t>
  </si>
  <si>
    <t>M1898</t>
  </si>
  <si>
    <t>Compiled Military Service Records of Volunteer Union Soldiers who Served with the U.S. Colored Troops, 54th Massachusetts Infantry Regiment (Colored)</t>
  </si>
  <si>
    <t>M1899</t>
  </si>
  <si>
    <t>Court-Martial Case Files Relating to the "Hesse Crown Jewels Case," 1944-1952</t>
  </si>
  <si>
    <t>M1915</t>
  </si>
  <si>
    <t>Land Entry Case Files of the Broken Bow Land Office, Broken Bow, Nebraska: Homestead Final Certificates, 1890-1908 (Index only)</t>
  </si>
  <si>
    <t>M1917</t>
  </si>
  <si>
    <t>Index Cards to Naturalization Petitions for the United States District Court for the Eastern District of Michigan, Southern Division, Detroit, 1907-1995</t>
  </si>
  <si>
    <t>M1921</t>
  </si>
  <si>
    <t>Records Relating to Monuments, Museums, Libraries, Archives, and Fine Arts of the Cultural Affairs Branch, OMGUS, 1946-1949</t>
  </si>
  <si>
    <t>2990224, 2990221, 2990228, 2990230, 2990232</t>
  </si>
  <si>
    <t>M1922</t>
  </si>
  <si>
    <t>Records of the External Assets Investigation Section of the Property Division, OMGUS, 1945-1949</t>
  </si>
  <si>
    <t>2431764, 2431002</t>
  </si>
  <si>
    <t>M1923</t>
  </si>
  <si>
    <t>OMGUS Finance Division Records Regarding Investigations and Interrogations, 1945-1949.</t>
  </si>
  <si>
    <t>M1925</t>
  </si>
  <si>
    <t>Records Regarding Intelligence and Financial Investigations of the Financial Intelligence Group, OMGUS, 1945-1949</t>
  </si>
  <si>
    <t>1561451, 1561450</t>
  </si>
  <si>
    <t>M1926</t>
  </si>
  <si>
    <t>Records of the Reparations and Restitutions Branch of the U.S. Allied Commission for Austria (USACA) Section, 1945-1950</t>
  </si>
  <si>
    <t>1561455, 1561456, 1561457, 1561458</t>
  </si>
  <si>
    <t>M1928</t>
  </si>
  <si>
    <t>Records of the German External Assets Branch of the U.S. Allied Commission for Austria (USACA) Section, 1945-1950</t>
  </si>
  <si>
    <t>M1934</t>
  </si>
  <si>
    <t>OSS Washington Secret Intelligence/Special Funds Records, 1942-1946</t>
  </si>
  <si>
    <t>M1935</t>
  </si>
  <si>
    <t>Flossenburg Entry Registers</t>
  </si>
  <si>
    <t>M1938</t>
  </si>
  <si>
    <t>Concentration Camp Dachau Entry Registers (Zugangsbuecher), 1933-1945 (Holocaust)</t>
  </si>
  <si>
    <t>1561462, 1560051, 1561463</t>
  </si>
  <si>
    <t>M1941</t>
  </si>
  <si>
    <t>Records Concerning the Central Collecting Points ("Ardelia Hall Collection"): OMGUS Headquarters Records, 1938-1951</t>
  </si>
  <si>
    <t>M1942</t>
  </si>
  <si>
    <t>Records Concerning the Central Collecting Points ("Ardelia Hall Collection"): Offenbach Archival Depot, 1946-1951 (Holocaust)</t>
  </si>
  <si>
    <t>Fold3.com (Photographs)</t>
  </si>
  <si>
    <t>Fold3.com (Administrative Records)</t>
  </si>
  <si>
    <t>1560057, 541587, 541583, 541584</t>
  </si>
  <si>
    <t>M1943</t>
  </si>
  <si>
    <t>ERR (Einsatzstab Reichsleiter Rosenberg) Card File and Related Photographs, 1940-1945</t>
  </si>
  <si>
    <t>M1944</t>
  </si>
  <si>
    <t>Records of the American Commission for the Protection and Salvage of Artistic and Historic Monuments in War Areas (The Roberts Commission), 1943-1946</t>
  </si>
  <si>
    <t>M1946</t>
  </si>
  <si>
    <t>Records Concerning the Central Collecting Points ("Ardelia Hall Collection"): Munich Central Collecting Point, 1945-1951</t>
  </si>
  <si>
    <t>M1947</t>
  </si>
  <si>
    <t>Records Concerning the Central Collecting Points ("Ardelia Hall Collection"): Wiesbaden Central Collecting Point, 1945-1952 (Holocaust)</t>
  </si>
  <si>
    <t>Fold3.com
(Property Cards)</t>
  </si>
  <si>
    <t>Fold3.com
(Photographs)</t>
  </si>
  <si>
    <t>1560058, 1560059, 1560060, 541593</t>
  </si>
  <si>
    <t>M1948</t>
  </si>
  <si>
    <t>Records Concerning the Central Collecting Points ("Ardelia Hall Collection"): Marburg Central Collecting Point, 1945-1949</t>
  </si>
  <si>
    <t>M1949</t>
  </si>
  <si>
    <t>Records of the Monuments, Fine Arts, and Archives (MFAA) Section of the Preparations and Restitution Branch, OMGUS, 1945-1951</t>
  </si>
  <si>
    <t>M1952</t>
  </si>
  <si>
    <t>Index to Naturalizations of World War I Soldiers, 1918</t>
  </si>
  <si>
    <t>M1953</t>
  </si>
  <si>
    <t>M1959</t>
  </si>
  <si>
    <t>Passenger Lists of Vessels Arriving at St. Petersburg, Florida, December 1926 - March 1941</t>
  </si>
  <si>
    <t>M1960</t>
  </si>
  <si>
    <t>Compiled Military Service Records of Volunteer Union Soldiers Who Served in Organizations From the Territory of Dakota: 1st Battalion Cavalry</t>
  </si>
  <si>
    <t>M1961</t>
  </si>
  <si>
    <t>Compiled Military Service Records of Volunteer Union Soldiers Who Served in Organizations From the State of Delaware</t>
  </si>
  <si>
    <t>M1972</t>
  </si>
  <si>
    <t>Petitions for Naturalization From the U.S. District Court for the Southern District of New York, 1897-1944</t>
  </si>
  <si>
    <t>M1973</t>
  </si>
  <si>
    <t>Statistical Manifests of Alien Arrivals By Airplane at San Antonio, Texas, May 17, 1944 - March 1952</t>
  </si>
  <si>
    <t>M1992</t>
  </si>
  <si>
    <t>Compiled Military Service Records of Volunteer Union Soldiers Who Served With the United States Colored Troops: Infantry Organizations, 31st through 35th.</t>
  </si>
  <si>
    <t>M1993</t>
  </si>
  <si>
    <t>Compiled Military Service Records of Volunteer Union Soldiers Who Served With the United States Colored Troops: Infantry Organizations, 36th Through 40th</t>
  </si>
  <si>
    <t>M1994</t>
  </si>
  <si>
    <t>Compiled Military Service Records of Volunteer Union Soldiers Who Served With the United States Colored Troops: Infantry Organizations, 41st Through 46th</t>
  </si>
  <si>
    <t>M1995</t>
  </si>
  <si>
    <t>Naturalization Petition and Record Books for the US District Court for the Northern District of Ohio, Eastern Division, Cleveland, 1907-1946</t>
  </si>
  <si>
    <t>M1997</t>
  </si>
  <si>
    <t>Registration Affidavits of Alien Enemies and Alien Females for the District of Kansas Under the Presidential Proclamations of November 16, 1917 and April 19, 1918.</t>
  </si>
  <si>
    <t>M2000</t>
  </si>
  <si>
    <t>Compiled Military Service Records of Volunteer Union Soldiers Who Served with the United States Colored Troops: Infantry Organizations, 47th through 55th</t>
  </si>
  <si>
    <t>M2004</t>
  </si>
  <si>
    <t>Compiled Military Service Records of Union Soldiers Who Served in the 1st New York Volunteer Engineers</t>
  </si>
  <si>
    <t>M2009</t>
  </si>
  <si>
    <t>Work Projects Administration Transcript of Passenger Lists of Vessels arriving at New Orleans, Louisiana, 1813-1849</t>
  </si>
  <si>
    <t>M2012</t>
  </si>
  <si>
    <t>Appellate Case File No. 2161, United States v. The Amistad, 40 U.S. 518 (15 Peters 518), Decided March 9, 1841, and Related Lower Court and Department of Justice Records</t>
  </si>
  <si>
    <t>M2029</t>
  </si>
  <si>
    <t>Records of the Field Offices of the Freedmen's Branch, Office of the Adjutant General, 1872-1878</t>
  </si>
  <si>
    <t>M2044</t>
  </si>
  <si>
    <t>Crew Lists of Vessels Arriving at Ashland, Kenosha, Marinette, Sheboygan, Sturgeon Bay and Washburn, Wisconsin, 1926-1956</t>
  </si>
  <si>
    <t>M2062</t>
  </si>
  <si>
    <t>Southern Claims Commission Approved Claims, 1871-1880: Alabama</t>
  </si>
  <si>
    <t>M2079</t>
  </si>
  <si>
    <t>Final Revolutionary War Pension Payment Vouchers: Delaware</t>
  </si>
  <si>
    <t>M2084</t>
  </si>
  <si>
    <t>Indexes to Naturalization Records for the District Court, 1906-1991, and the U.S. Circuit Court, 1906-1911, Rhode Island</t>
  </si>
  <si>
    <t>M2094</t>
  </si>
  <si>
    <t>Southern Claims Commission Approved Claims, 1871-1880: Virginia.</t>
  </si>
  <si>
    <t>M2095</t>
  </si>
  <si>
    <t>Lists of Passengers Arriving at and Departing From the District of Fairfield, Connecticut, 1804-1889</t>
  </si>
  <si>
    <t>M2110</t>
  </si>
  <si>
    <t>Correspondence and Case Files of the Bureau of Pensions Pertaining to the Ex-Slave Pension Movement, 1892-1922</t>
  </si>
  <si>
    <t>M2113</t>
  </si>
  <si>
    <t>Applications for Headstones for U.S. Military Veterans, 1941-1949</t>
  </si>
  <si>
    <t>M2115</t>
  </si>
  <si>
    <t>MP63</t>
  </si>
  <si>
    <t>Administrative History Files, 1942 - 1946</t>
  </si>
  <si>
    <t>Pearl Harbor Muster Rolls</t>
  </si>
  <si>
    <t>Muster Rolls of U.S. Navy Ships, Stations, and Other Naval Activities, 01/01/1939-01/01/1949</t>
  </si>
  <si>
    <t>Original Record (AAD)</t>
  </si>
  <si>
    <t>Naval Group China Personnel Records, 1942-1945 (Records of Duty Locations for Naval Intelligence Personnel, 1942-1945)</t>
  </si>
  <si>
    <t>Certificate Stubs, South Dakota ( Southern (Sioux Falls) Division), 1905 - 1924</t>
  </si>
  <si>
    <t>Defendant Jacket Files for U.S. District Court, Western, Division of Arkansas, Fort Smith Division, 1866-1900</t>
  </si>
  <si>
    <t>Naturalization Petitions, Declarations and Oaths, Georgia (Savannah District), 1/1/1798 - 12/30/1861</t>
  </si>
  <si>
    <t>Bankruptcy Act of 1867 Case Files (U.S. District Court for the District of Colorado)</t>
  </si>
  <si>
    <t>American University</t>
  </si>
  <si>
    <t>The National Archives of Korea</t>
  </si>
  <si>
    <t>Case Files of Approved Pension Applications of Widows and Other Dependents of the Army and Navy Who Served Mainly in the Civil War and the War With Spain, 1861 - 1934</t>
  </si>
  <si>
    <t>Compiled Military Service Records of Volunteer Union Soldiers Who Served With the United States Colored Troops: Infantry Organizations, 56th through 138th</t>
  </si>
  <si>
    <t>Compiled Military Service Records of Volunteer Union Soldiers Who Served the United States Colored Troops: Brigade Band</t>
  </si>
  <si>
    <t>Fourth Registration Draft Cards, 1942 (District of Columbia)</t>
  </si>
  <si>
    <t>Death Reports in State Department Decimal File, 1910 to 1962 (I-15-E 205)</t>
  </si>
  <si>
    <t>World War II Honor List of Dead and Missing Army and Army Air Forces Personnel, 1946</t>
  </si>
  <si>
    <t>Presidential and Distinguished Unit Citations, 1967 - 1971</t>
  </si>
  <si>
    <t>Aerial Photographs, 1935 - 1970</t>
  </si>
  <si>
    <t>Photographs of Marine Corps Activities in Vietnam, 1962-1975 (Color)</t>
  </si>
  <si>
    <t>Black and White Color Photographs of US Air Force and Predecessor Agencies, Activities and Personnel - WWII and Korean War, ca 1940 - ca 1980</t>
  </si>
  <si>
    <t>Vis-Aid Index to the General Photographic Files of the Department of the Navy, 1958-1981</t>
  </si>
  <si>
    <t>Bankruptcy Act of 1898 Case Files (District of Columbia)</t>
  </si>
  <si>
    <t>National Oceanic and Atmospheric Administration (NOAA)</t>
  </si>
  <si>
    <t>Fourth Registration Draft Cards, 1942 (Delaware)</t>
  </si>
  <si>
    <t>Fourth Registration Draft Cards, 1942 (Maryland)</t>
  </si>
  <si>
    <t>Fourth Registration Draft Cards, 1942 (Pennsylvania)</t>
  </si>
  <si>
    <t>Fourth Registration Draft Cards, 1942 (Virginia)</t>
  </si>
  <si>
    <t>Fourth Registration Draft Cards, 1942 (West Virginia)</t>
  </si>
  <si>
    <t>Fourth Registration Draft Cards, 1942 (Idaho)</t>
  </si>
  <si>
    <t>Fourth Registration Draft Cards, 1942 (Oregon)</t>
  </si>
  <si>
    <t>Fourth Registration Draft Cards, 1942 (Washington State)</t>
  </si>
  <si>
    <t>War of 1812 Pension and Bounty Land Warrant Application Files</t>
  </si>
  <si>
    <t>Southern Claims Commission Approved Claims, 1871-1880</t>
  </si>
  <si>
    <t>Declarations of Intention for Citizenship, Texas (Dallas Division of the Northern District), 1906 - 1990</t>
  </si>
  <si>
    <t>Petitions for Naturalization, Missouri (Eastern (St. Louis) Division of the Eastern District), 1868 - 1991</t>
  </si>
  <si>
    <t>Declarations of Intention for Citizenship, Texas (Brownsville Division of the Southern District), 1907-1929</t>
  </si>
  <si>
    <t>Petitions for Naturalization, Texas (Brownsville Division of the Southern District), 1909-1928</t>
  </si>
  <si>
    <t>Petitions for Naturalization, Missouri (Western (Kansas City) Division of the Western District), 1909 - 1991</t>
  </si>
  <si>
    <t>Military and Overseas Petitions for Naturalization, Missouri (Northern (St. Joseph) Division of the Western District), 1943 - 1955</t>
  </si>
  <si>
    <t>Declarations of Intention for Citizenship, Texas (Corpus Christi Division of the Southern District), 1913-1955</t>
  </si>
  <si>
    <t>Petitions for Naturalization, Texas (Corpus Christi Division of the Southern District), 1913-1965</t>
  </si>
  <si>
    <t>Repatriation Oaths of Allegiance, Texas (Corpus Christi Division of the Southern District), 1940-1971</t>
  </si>
  <si>
    <t>Petitions for Naturalization Transferred from Other Courts, Texas (Corpus Christi Division of the Southern District), 1953-1971</t>
  </si>
  <si>
    <t>Petitions for Naturalization, Nebraska (North Platte Division), 1930 - 1950</t>
  </si>
  <si>
    <t>Petitions for Naturalization, Iowa (Cedar Rapids Division of the Northern District), 1913 - 1978</t>
  </si>
  <si>
    <t>Declarations of Intention for Citizenship, Texas (Houston Division of the Southern District), 1906-1980</t>
  </si>
  <si>
    <t>Petitions for Naturalization, Texas (Houston Division of the Southern District), 1907-09/30/1991</t>
  </si>
  <si>
    <t>Petitions for Naturalization Transferred from Other Courts, Texas (Houston Division of the Southern District), 1953-1983</t>
  </si>
  <si>
    <t>Repatriation Oaths of Allegiance, Texas (Houston Division of the Southern District), 1936-1968</t>
  </si>
  <si>
    <t>Declarations of Intention for Citizenship, Texas (Laredo Division of the Southern District), 1908-1985</t>
  </si>
  <si>
    <t>Petitions for Naturalization, Texas (Laredo Division of the Southern District), 1907-1988</t>
  </si>
  <si>
    <t>Petitions for Naturalization Transferred from Other Courts, Texas (Laredo Division of the Southern District), 1955-1990</t>
  </si>
  <si>
    <t>Repatriation Oaths of Allegiance, Texas (Houston Division of the Southern District), 1931-1982</t>
  </si>
  <si>
    <t>Indexes to Naturalization Petitions, Missouri (Eastern (St. Louis) Division of the Eastern District), 1910? - ca. 1956</t>
  </si>
  <si>
    <t>Index to Naturalizations, Nebraska (Omaha Division), ca. 1935 - ca. 1939</t>
  </si>
  <si>
    <t>Naturalization Index, Missouri (Western (Kansas City) Division of the Western District), ca. 1930 - ca. 1986</t>
  </si>
  <si>
    <t>Bankruptcy Act of 1898 Case Files (U.S. District Court for the District of Rhode Island)</t>
  </si>
  <si>
    <t>Bankruptcy Act of 1898 Case Files (U.S. District Court for the Southwestern (Joplin) Division of the Western District of Missouri)</t>
  </si>
  <si>
    <t>Bankruptcy Act of 1898 Case Files (U.S. District Court for the Lincoln Division of the District of Nebraska)</t>
  </si>
  <si>
    <t>Bankruptcy Act of 1898 Case Files (U.S. District Court for the Norfolk Division of the District of Nebraska)</t>
  </si>
  <si>
    <t>Bankruptcy Act of 1898 Case Files (U.S. District Court for the Omaha Division of the District of Nebraska)</t>
  </si>
  <si>
    <t>Bankruptcy Act of 1898 Case Files (U.S. District Court for the Fifth (Duluth) Division of the District of Minnesota)</t>
  </si>
  <si>
    <t>Bankruptcy Act of 1898 Case Files (U.S. District Court for the Southeastern (Cape Girardeau) Division of the Eastern District of Missouri)</t>
  </si>
  <si>
    <t>Bankruptcy Act of 1898 Case Files (U.S. District Court for the Second (Wichita) Division of the District of Kansas)</t>
  </si>
  <si>
    <t>Bankruptcy Act of 1898 Case Files (U.S. District Court for the Western (Council Bluffs) Division of the Southern District of Iowa)</t>
  </si>
  <si>
    <t>Declarations of Intention for Citizenship, West Virgina (Charleston Division of the Southern District), 1906 - 1952</t>
  </si>
  <si>
    <t>Bankruptcy Act of 1898 Case Files (U.S. District Court for the Southeastern (Fargo) Division of the District of North Dakota)</t>
  </si>
  <si>
    <t>Petitions for Naturalization Transferred from Other Courts, Texas (Abilene Division of the Northern District), 1955-1984</t>
  </si>
  <si>
    <t>Repatriation Oaths of Allegiance, Texas (Abilene Division of the Northern District), 1941-1961</t>
  </si>
  <si>
    <t>Petitions for Naturalization Transferred from Other Courts, Texas (Dallas Division of the Northern District), 1959-1992</t>
  </si>
  <si>
    <t>Repatriation Oaths of Allegiance, Texas (Dallas Division of the Northern District), 1940-1967</t>
  </si>
  <si>
    <t>Fourth Registration Draft Cards, 1942 (Arkansas)</t>
  </si>
  <si>
    <t>Fourth Registration Draft Cards, 1942 (Louisiana)</t>
  </si>
  <si>
    <t>Fourth Registration Draft Cards, 1942 (Oklahoma)</t>
  </si>
  <si>
    <t>Fourth Registration Draft Cards, 1942 (Texas)</t>
  </si>
  <si>
    <t>Alien Registration Forms (Texas), compiled 1940 - 1946</t>
  </si>
  <si>
    <t>Alien Registration Forms (Arkansas), compiled 1940 - 1946</t>
  </si>
  <si>
    <t>Alien Registration Forms (Louisiana), compiled 1940 - 1946</t>
  </si>
  <si>
    <t>Alien Registration Forms (Oklahoma), compiled 1940 - 1946</t>
  </si>
  <si>
    <t>Petitions for Naturalization Transferred from Other Courts, Texas (Austin Division of the Western District), 1953-1976</t>
  </si>
  <si>
    <t>Repatriation Oaths of Allegiance, Texas (Austin Division of the Western District), 1939-1966</t>
  </si>
  <si>
    <t>Declarations of Intention for Citizenship, Florida (Southern District, Miami Term), 1913 - 1990</t>
  </si>
  <si>
    <t>Petitions for Naturalization, Southern District of Florida (Miami Division), 1913-1991</t>
  </si>
  <si>
    <t>Bankruptcy Act of 1898 Case Files (U.S. District Court for the Northern (Peoria) Division of the Southern District of Illinois)</t>
  </si>
  <si>
    <t>Bankruptcy Act of 1898 Case Files (U.S. District Court for the Northern (Bay City) Division of the Eastern District of Michigan)</t>
  </si>
  <si>
    <t>Bankruptcy Act of 1898 Case Files (U.S. District Court for the Southern (Springfield) Division of the Southern District of Illinois)</t>
  </si>
  <si>
    <t>Bankruptcy Act of 1898 Case Files (U.S. District Court for the Eastern (Columbus) Division of the Southern District of Ohio)</t>
  </si>
  <si>
    <t>Bankruptcy Act of 1898 Case Files (U.S. District Court for the Western (Cincinnati) Division of the Southern District of Ohio)</t>
  </si>
  <si>
    <t>American Protective League Correspondence with Field Offices, 1917 - 1919</t>
  </si>
  <si>
    <t>Declarations of Intention for Citizenship, Texas (Beaumont Division of the Eastern District), 1906-1980</t>
  </si>
  <si>
    <t>Petitions for Naturalization, Texas (Beaumont Division of the Eastern District), 1906-09/30/1991</t>
  </si>
  <si>
    <t>Petitions for Naturalization Transferred from Other Courts, Texas (Beaumont Division of the Eastern District), 1955-1989</t>
  </si>
  <si>
    <t>Korean War Casualties</t>
  </si>
  <si>
    <t>Bankruptcy Act of 1898 Case Files (U.S. District Court for the New Albany Division of the Southern District of Indiana)</t>
  </si>
  <si>
    <t>Serialized Land Entry Case Files That Were Canceled, Relinquished, or Rejected, Topeka (Kansas) Land Office, ca. 1900 - ca. 1919</t>
  </si>
  <si>
    <t>Serialized Land Entry Case Files That Were Canceled, Relinquished, or Rejected, Dodge City (Kansas) Land Office, ca. 1900 - ca. 1919</t>
  </si>
  <si>
    <t>Serialized Land Entry Case Files That Were Canceled, Relinquished, or Rejected, Alliance (Nebraska) Land Office, ca. 1908 - ca. 1932</t>
  </si>
  <si>
    <t>Serialized Land Entry Case Files That Were Canceled, Relinquished, or Rejected, Valentine (Nebraska) Land Office, ca. 1909 - ca. 1918</t>
  </si>
  <si>
    <t>Serialized Land Entry Case Files That Were Canceled, Relinquished, or Rejected, Broken Bow (Nebraska) Land Office, ca. 1908 - ca. 1913</t>
  </si>
  <si>
    <t>Serialized Land Entry Case Files That Were Canceled, Relinquished, or Rejected, North Platte (Nebraska) Land Office, ca. 1902 - ca. 1922</t>
  </si>
  <si>
    <t>Serialized Land Entry Case Files That Were Canceled, Relinquished, or Rejected, Lincoln (Nebraska) Land Office, ca. 1905 - ca. 1920</t>
  </si>
  <si>
    <t>Serialized Land Entry Case Files That Were Canceled, Relinquished, or Rejected, O'Neill (Nebraska) Land Office, ca. 1900 - ca. 1914</t>
  </si>
  <si>
    <t>Declarations of Intention for Citizenship, Texas (Del Rio Division of the Western District), 1907-1981</t>
  </si>
  <si>
    <t>Petitions for Naturalization, Texas (Del Rio Division of the Western District), 1908-1982</t>
  </si>
  <si>
    <t>Petitions for Naturalization Transferred from Other Courts, Texas (Del Rio Division of the Western District), 1955-1981</t>
  </si>
  <si>
    <t>Repatriation Oaths of Allegiance, Texas (Del Rio Division of the Western District), 1941-1967</t>
  </si>
  <si>
    <t>Declarations of Intention for Citizenship, Texas (El Paso Division of the Western District), 1890-1906</t>
  </si>
  <si>
    <t>Declarations of Intention for Citizenship, Texas (El Paso Division of the Western District), 1906-1989</t>
  </si>
  <si>
    <t>Petitions for Naturalization Transferred from Other Courts, Texas (El Paso Division of the Western District), 1953-1987</t>
  </si>
  <si>
    <t>Repatriation Oaths of Allegiance, Texas (El Paso Division of the Western District), 1937-1969</t>
  </si>
  <si>
    <t>Bankruptcy Act of 1898 Case Files (U.S. District Court for the Northern Division of Maine)</t>
  </si>
  <si>
    <t>Selected Bankruptcy Act of 1898 Case Files (U.S. District Court for the Southern Division of Maine)</t>
  </si>
  <si>
    <t>Declarations of Intention for Citizenship, Texas (San Antonio Division of the Western District), 1906-1974</t>
  </si>
  <si>
    <t>Petitions for Naturalization, Texas (San Antonio Division of the Western District), 1907-1987</t>
  </si>
  <si>
    <t>Naturalization Certificate Stubs, Missouri (Western (Kansas City) Division of the Western District), 1907 - 1990</t>
  </si>
  <si>
    <t>Naturalization Certificate Stubs, Missouri (Northern (St. Joseph) Division of the Western District), 1907 - 1976</t>
  </si>
  <si>
    <t>Repatriation Oaths of Allegiance, Louisiana (New Orleans Term of the Eastern District), 1940 - 1970</t>
  </si>
  <si>
    <t>Petitions for Naturalization, Washington (Western District, Seattle Term), 1890 - 1991</t>
  </si>
  <si>
    <t>Declarations of Intention for Citizenship, Nebraska (North Platte Division), 1931 - 1951</t>
  </si>
  <si>
    <t>Petitions for Naturalization, Illinois (Eastern (Chicago) Division of the Northern District), 1906 - 1991</t>
  </si>
  <si>
    <t xml:space="preserve">Petitions for Naturalization, California (Central District, Los Angeles), 1887-1991 </t>
  </si>
  <si>
    <t>Applications for Headstones, compiled 01/01/1925 - 06/30/1970, documenting the period ca. 1776 - 1970</t>
  </si>
  <si>
    <t>American Protective League Registers of Members, 1918-1919</t>
  </si>
  <si>
    <t>American Protective League Sample of Record Cards, 1917-1919</t>
  </si>
  <si>
    <t>American Protective League Correspondence on Investigations, 1918 - 1919</t>
  </si>
  <si>
    <t>American Protective League Newsletters, 1918</t>
  </si>
  <si>
    <t>Fourth Registration Draft Cards, 1942 (Missouri)</t>
  </si>
  <si>
    <t>Fourth Registration Draft Cards, 1942 (Kansas)</t>
  </si>
  <si>
    <t>Fourth Registration Draft Cards, 1942 (Iowa)</t>
  </si>
  <si>
    <t>Fourth Registration Draft Cards, 1942 (Nebraska)</t>
  </si>
  <si>
    <t>Fourth Registration Draft Cards, 1942 (Minnesota)</t>
  </si>
  <si>
    <t>Coming Soon - Complete</t>
  </si>
  <si>
    <t>Fourth Registration Draft Cards, 1942 (North Dakota)</t>
  </si>
  <si>
    <t>Fourth Registration Draft Cards, 1942 (South Dakota)</t>
  </si>
  <si>
    <t>Petitions for Naturalization, New Jersey (Trenton Term), 1838 - 1988</t>
  </si>
  <si>
    <t>Index to Petitions for Naturalization and Declarations of Intention, New Jersey (Trenton Term), 1796 - 1988</t>
  </si>
  <si>
    <t>Declarations of Intention, Arizona (U.S. District Court for the Tucson Division of the District of Arizona), 1915-1985</t>
  </si>
  <si>
    <t>Petitions for Naturalization, Arizona (Tucson Division), 1915-1991</t>
  </si>
  <si>
    <t>Military Naturalization Petitions, Arizona (Tucson Division), 1918 - 1946</t>
  </si>
  <si>
    <t>Petitions for Naturalization Transferred from Other Courts, Arizona (Tucson Division), 1953 - 1990</t>
  </si>
  <si>
    <t>Petitions for Naturalization, California (Southern District), 1955-1991</t>
  </si>
  <si>
    <t>Fourth Registration Draft Cards, 1942 (California)</t>
  </si>
  <si>
    <t>Declarations of Intention, 1955-1991 (US District Court for Southern District of California)</t>
  </si>
  <si>
    <t>Repatriation Oaths of Allegiance, California (Southern District), 1955 - 1973</t>
  </si>
  <si>
    <t>Overseas Military Naturalization Petitions, Arizona (Tucson Division), 1954 - 1955</t>
  </si>
  <si>
    <t>Repatriation Oaths of Allegiance, Arizona (Tucson Division), 1936 - 1964</t>
  </si>
  <si>
    <t>Petitions for Naturalization Transferred from Other Courts, California (Southern District), 1955 - 1993</t>
  </si>
  <si>
    <t>Naturalization Depositions, California (Southern District), 1955 - 1982</t>
  </si>
  <si>
    <t>Naturalization Depositions, Arizona (Tucson Division), 1915 - 1919</t>
  </si>
  <si>
    <t>Monthly Naturalization Reports, California (U.S. District Court for the Southern District of California), 1955 - 1991</t>
  </si>
  <si>
    <t>Petitions for Naturalization, California (Northern District), 8/6/1903 - 12/29/1911</t>
  </si>
  <si>
    <t>Petitions for Naturalization, Nevada (Las Vegas Term), 1956-1991</t>
  </si>
  <si>
    <t>Petitions for Naturalization Transferred from Other Courts, Nevada (Las Vegas Term), 1957 - 1991</t>
  </si>
  <si>
    <t>Repatriation Oaths of Allegiance, Nevada (Las Vegas Term), 1963 - 1966</t>
  </si>
  <si>
    <t>Index to Selected Final [Pension] Payment Vouchers, 1818-64</t>
  </si>
  <si>
    <t>Atlanta Federal Penitentiary Inmate Case Files</t>
  </si>
  <si>
    <t>Bankruptcy Act of 1898 Case Files (U.S. District Court for the District of Wyoming)</t>
  </si>
  <si>
    <t>Petitions for Naturalization, Oregon (District Court), 1877 - 1991</t>
  </si>
  <si>
    <t>Bankruptcy Act of 1898 Case Files (U.S. District Court for the Jonesboro Division of the Eastern District of Arkansas)</t>
  </si>
  <si>
    <t>Petitions for Naturalization, Arizona (Phoenix Division), 1912-1991</t>
  </si>
  <si>
    <t>Declarations of Intention for Citizenship, Arizona (Phoenix Division), 1912-1972</t>
  </si>
  <si>
    <t>Repatriation Oaths of Allegiance, Arizona (Phoenix Division), 1929 - 1968</t>
  </si>
  <si>
    <t>Bankruptcy Act of 1898 Case Files (U.S. District Court for the Pueblo Division of the District of Colorado)</t>
  </si>
  <si>
    <t>Bankruptcy Act of 1898 Case Files (U.S. District Court for the District of Colorado)</t>
  </si>
  <si>
    <t>Petitions for Naturalization, Washington (Western District, Tacoma Term), 1896 - 7/1988</t>
  </si>
  <si>
    <t>Petitions for Naturalization Transferred from Other Courts, Arizona (Phoenix Division), 1953 - 1991</t>
  </si>
  <si>
    <t>Naturalization Depositions, Arizona (Phoenix Division), 1912 - 1919</t>
  </si>
  <si>
    <t>Declarations of Intention for Citizenship, New Jersey (Newark Term), 1914 - 1982</t>
  </si>
  <si>
    <t>Proofs of Citizenship for Seamen's Protection Certificates (New Bedford, Massachusetts), 1807 - 1851</t>
  </si>
  <si>
    <t>Records Relating to Seamen (Newport, Rhode Island), 1798 - 1862</t>
  </si>
  <si>
    <t>Military Petitions for Naturalization, Arizona (Phoenix Division), 1954 - 1955</t>
  </si>
  <si>
    <t>Declarations of Intention, California (U.S. District Court for the Southern (Los Angeles) Division of the Southern District of California), 1887-1994</t>
  </si>
  <si>
    <t>Petitions for Naturalization, Washington (Eastern District, Spokane Term), 1892 - 1991</t>
  </si>
  <si>
    <t>Index to Declarations of Intention for Citizenship, New Jersey (Newark Term), 1927 - 1950</t>
  </si>
  <si>
    <t>Naturalization Depositions, California (Central District), 1924 - 1981</t>
  </si>
  <si>
    <t>Petitions for Naturalization Transferred from Other Courts, California (Central District), 1953 - 1995</t>
  </si>
  <si>
    <t>Depositions for Naturalization Transferred from Other Courts, California (Central District), 1949 - 1976</t>
  </si>
  <si>
    <t>Petitions for Naturalization Transferred to Other Courts, California (Central District), 1956 - 1976</t>
  </si>
  <si>
    <t>Overseas Military Naturalization Petitions, California (Central (Los Angeles) Division of the Southern District), 1942 - 1955</t>
  </si>
  <si>
    <t>Military Petitions for Naturalization, California (Central (Los Angeles) District of the Southern District), 1918-1946</t>
  </si>
  <si>
    <t>Military Repatriation Oaths of Allegiance, California (Central (Los Angeles) Division of the Southern District), 1922 - 1946</t>
  </si>
  <si>
    <t>Military Naturalization Depositions, California (Central (Los Angeles) Division of the Southern District), 1932 - 1948</t>
  </si>
  <si>
    <t>Fourth Registration Draft Cards, 1942 (Ohio)</t>
  </si>
  <si>
    <t>Fourth Registration Draft Cards, 1942 (Wisconsin)</t>
  </si>
  <si>
    <t>Fourth Registration Draft Cards, 1942 (Michigan)</t>
  </si>
  <si>
    <t>Fourth Registration Draft Cards, 1942 (Illinois)</t>
  </si>
  <si>
    <t>Fourth Registration Draft Cards, 1942 (Indiana)</t>
  </si>
  <si>
    <t>Repatriation Oaths of Allegiance, California (Central District), 1936 - 1971</t>
  </si>
  <si>
    <t>Lists of Alien Naturalization Notices, California (Central (Los Angeles) Division of the Southern District), 1942 - 1951</t>
  </si>
  <si>
    <t>Farm Ownership Case Files, Region 4 (Raleigh), 1938 - 1946</t>
  </si>
  <si>
    <t>Alien and Japanese American Registration Forms (Oregon), 1942 - 1946</t>
  </si>
  <si>
    <t>Alien and Japanese American Registration Forms (Idaho), 1942 - 1946</t>
  </si>
  <si>
    <t>Farm Ownership Case Files, Region 5 (Montgomery), 1938 - 1946</t>
  </si>
  <si>
    <t>Farm Ownership Case Files, Region 6 (Little Rock), 1938 - 1946</t>
  </si>
  <si>
    <t>Petitions for Naturalization, Washington (Eastern District, Yakima Term), 1907 - 9/30/1991</t>
  </si>
  <si>
    <t>Pardons Under Amnesty Proclamations, compiled 1865 - 1866</t>
  </si>
  <si>
    <t>Enumeration and Enrollment Censuses, compiled 1893—1913</t>
  </si>
  <si>
    <t>Declarations of Intention for Citizenship, Oregon, 1897 - 1911</t>
  </si>
  <si>
    <t>Declarations of Intention, 1907-1952, U.S. District Court for the Eastern (Helena) Division of the Eastern District of Arkansas.</t>
  </si>
  <si>
    <t>Petitions for Naturalization, 1909-1953, U.S. District Court for the Eastern (Helena) Division of the Eastern District of Arkansas.</t>
  </si>
  <si>
    <t>Declarations of Intention for Citizenship, Louisiana (Alexandria Division of the Western District), 1919 - 1984</t>
  </si>
  <si>
    <t>Petitions for Naturalization, Louisiana (Alexandria Division of the Western District), 1922 - 1991</t>
  </si>
  <si>
    <t>Petitions for Naturalization, Louisiana (U.S. District Court for the Lake Charles Division of the Western District), 1921 - 1988</t>
  </si>
  <si>
    <t>Declarations of Intention for Citizenship, Louisisana (Lake Charles Division), 1919 - 1982</t>
  </si>
  <si>
    <t>Declarations of Intention for Citizenship, Louisiana (Monroe Division of the Western District), 1929 - 1956</t>
  </si>
  <si>
    <t>Petitions for Naturalization, Louisiana (Monroe Division of the Western District), 1929 - 1955</t>
  </si>
  <si>
    <t>Petitions for Naturalization, Louisiana (Opelousas Division of the Western District), 1918 - 1955</t>
  </si>
  <si>
    <t>Declarations of Intention for Citizenship, Louisiana (Opelousas Division of the Western District), 1918 - 1956</t>
  </si>
  <si>
    <t>Declarations of Intention for Citizenship, Iowa (Southern (Creston) Division of the Southern District), 1930 - 1950</t>
  </si>
  <si>
    <t>Petitions for Naturalization, Iowa (Southern (Creston) Division of the Southern District), 1930 - 1951</t>
  </si>
  <si>
    <t>Petitions for Naturalization, Iowa (Central (Des Moines) Division of the Southern District), 1915 - 1990</t>
  </si>
  <si>
    <t>Declarations of Intention for Citizenship, Iowa (Eastern (Dubuque) Division of the Northern District), 1914 - 1965</t>
  </si>
  <si>
    <t>Petitions for Naturalization, Iowa (Eastern (Dubuque) Division of the Northern District), 1915 - 1962</t>
  </si>
  <si>
    <t>Declarations of Intention for Citizenship, Iowa (Central (Fort Dodge) Division of the Northern District), 1917 - 1977</t>
  </si>
  <si>
    <t>Declarations of Intention for Citizenship, Louisiana (Shreveport Division of the Western District), 1906 - 1986</t>
  </si>
  <si>
    <t>Petitions for Naturalization, Louisiana (Shreveport Division of the Western District), 1902 - 09/30/1991</t>
  </si>
  <si>
    <t>Petitions for Naturalization Transferred from Other Courts, Louisiana (Shreveport Division of the Western District), 1954 - 1993</t>
  </si>
  <si>
    <t>Naturalization Case Files, Colorado, (Denver Term), 1876 - 1947</t>
  </si>
  <si>
    <t>Declarations of Intention for Citizenship, Colorado (Denver Term), 1877 - 1966</t>
  </si>
  <si>
    <t>Court Orders Granting Petitions for Naturalization, Colorado (Denver Term), 1952 - 1966</t>
  </si>
  <si>
    <t>Petitions for Naturalization, Iowa (Central (Fort Dodge) Division of the Northern District), 1909 - 1977</t>
  </si>
  <si>
    <t>Declarations of Intention for Citizenship, Iowa (Central Division of the Northern District, Mason City Term), 1944 - 1958</t>
  </si>
  <si>
    <t>Petitions for Naturalization, Iowa (Central Division of the Northern District, Mason City Term), 1944 - 1961</t>
  </si>
  <si>
    <t>Declarations of Intention for Citizenship, Iowa (Ottumwa Division of the Southern District), 1916 - 1951</t>
  </si>
  <si>
    <t>Petitions for Naturalization, Iowa (Ottumwa Division of the Southern District), 1917 - 1951</t>
  </si>
  <si>
    <t>Declarations of Intention for Citizenship, Iowa (Western (Sioux City) Division of the Northern District), 1932 - 1983</t>
  </si>
  <si>
    <t>WWI American Expeditionary Forces, Officer Experience Reports</t>
  </si>
  <si>
    <t>Petitions for Naturalization, Iowa (Western (Sioux City) Division of the Northern District), 1932 - 1990</t>
  </si>
  <si>
    <t>Declarations of Intention for Citizenship, Iowa (Eastern Division of the Northern District, Waterloo Term), 1944 -1958</t>
  </si>
  <si>
    <t>Petitions for Naturalization, Iowa (Eastern Division of the Northern District, Waterloo Term), 1944 - 1962</t>
  </si>
  <si>
    <t>Petitions For Naturalization, Alabama (Birmingham), 1909 - 1963</t>
  </si>
  <si>
    <t>Final Statements, 1862-1899</t>
  </si>
  <si>
    <t>Petitions for Naturalization, New Jersey (Camden Term), 1932 - 1981</t>
  </si>
  <si>
    <t>Cemetery Relocation Files, 1937-1985</t>
  </si>
  <si>
    <t>Registers of Deaths of Volunteers, compiled 1861 - 1865</t>
  </si>
  <si>
    <t>Family Removal and Population Readjustment Case Files, 1937 - 1948</t>
  </si>
  <si>
    <t>Bankruptcy Act of 1898 Case Files, 1898 - 1959</t>
  </si>
  <si>
    <t>Bankruptcy Act of 1898 Case Files, 1898 - 1969</t>
  </si>
  <si>
    <t>Petitions for Naturalization, Georgia (Atlanta Division), 1912 - 1991</t>
  </si>
  <si>
    <t>Petitions for Naturalization, South Carolina (U.S. Circuit Court of the Eastern District), 1855 - 1906</t>
  </si>
  <si>
    <t>Orders and Petitions Concerning Naturalization, Colorado (Pueblo Division), 1926 - 1949</t>
  </si>
  <si>
    <t>Record of Applications for Removal of Restrictions, 1908-1927</t>
  </si>
  <si>
    <t>Correspondence Relating to Naturalization, Oklahoma (Western District), 1909 - 1960</t>
  </si>
  <si>
    <t>Petitions for Naturalization, Oklahoma (Western District), 1908 - 1932</t>
  </si>
  <si>
    <t>Declarations of Intention for Citizenship, Oklahoma (Western District), 1908 - 1932</t>
  </si>
  <si>
    <t>Declarations of Intention for Citizenship, Oklahoma (Western District), 1932 - 1974</t>
  </si>
  <si>
    <r>
      <rPr>
        <u/>
        <sz val="12"/>
        <color rgb="FF1155CC"/>
        <rFont val="Calibri"/>
      </rPr>
      <t>Petitions for Naturalization, Oklahoma (Western District), 1932 - 09/30/1991</t>
    </r>
    <r>
      <rPr>
        <sz val="12"/>
        <color rgb="FF000000"/>
        <rFont val="Calibri"/>
      </rPr>
      <t xml:space="preserve"> </t>
    </r>
  </si>
  <si>
    <t>Petitions for Naturalization Transferred from Other Courts, Oklahoma (Western District), 1954 - 1974</t>
  </si>
  <si>
    <t>Stubs of Naturalization Certificates, Oklahoma (Western District), 1907 - 1929</t>
  </si>
  <si>
    <t>Index to Applicants for Citizenship, Oklahoma (Western District), ca. 1930 - ca. 1944</t>
  </si>
  <si>
    <t>Petitions for Naturalization, Alaska (U.S. District Court for the Anchorage Division), 1960 - 1991</t>
  </si>
  <si>
    <t>Bankruptcy Act of 1898 Case Files (U.S. District Court for the Memphis Division of the District of Tenessee)</t>
  </si>
  <si>
    <t>Bankruptcy Act of 1841 Case Files (U.S. District Court for the Nashville Division of the District of Tenessee)</t>
  </si>
  <si>
    <t>Declarations of Intention for Citizenship, Missouri (Southeastern (Cape Girardeau) Division of the Eastern District), 1907 - 1958</t>
  </si>
  <si>
    <t>Petitions for Naturalization, Missouri (Southeastern (Cape Girardeau) Division of the Eastern District), 1907 - 1979</t>
  </si>
  <si>
    <t>Declarations of Intention for Citizenship, Missouri (Northern (Hannibal) Division of the Eastern District), 1870 - 1951</t>
  </si>
  <si>
    <t>Petitions for Naturalization, Missouri (Northern (Hannibal) Division of the Eastern District), 1907 - 1976</t>
  </si>
  <si>
    <t>Petitions for Naturalization, Missouri (Central (Jefferson City) Division), 1938 - 1982</t>
  </si>
  <si>
    <t>Declarations of Intention for Citizenship, Missouri (Southwestern (Joplin) Division of the Western District), 1907 - 1973</t>
  </si>
  <si>
    <t>Petitions for Naturalization, Missouri (Southwestern (Joplin) Division of the Western District), 1930 - 1974</t>
  </si>
  <si>
    <t>Index to Naturalization Petitions, Missouri (Central (Jefferson City) Division), 1938 - 1974</t>
  </si>
  <si>
    <t>Petitions for Naturalization, Missouri (Western (Kansas City) Division of the Western District), 1906 - 1909</t>
  </si>
  <si>
    <t>Declarations of Intention for Citizenship, Missouri (Western (Kansas City) Division of the Western District), 1882 - 1987</t>
  </si>
  <si>
    <t>Petitions for Naturalization, Missouri (Northern (St. Joseph) Division of the Western District), 1907 - 1976</t>
  </si>
  <si>
    <t>Declarations of Intention for Citizenship, Missouri (Northern (St. Joseph) Division of the Western District), 1907 - 1976</t>
  </si>
  <si>
    <t>Petitions for Naturalization, Missouri (Eastern (St. Louis) Division of the Eastern District), 1855 - 1911</t>
  </si>
  <si>
    <t>Declarations of Intention for Citizenship, Missouri (Eastern (St. Louis) Division of the Eastern District), 1890 - 1991</t>
  </si>
  <si>
    <t>Declarations of Intention for Citizenship, Nebraska (Grand Island Division), 1930 - 1951</t>
  </si>
  <si>
    <t>Petitions for Naturalization, Nebraska (Grand Island Division), 1923 - 1950</t>
  </si>
  <si>
    <t>Declarations of Intention for Citizenship, Nebraska (Hastings Division), 1931 -1951</t>
  </si>
  <si>
    <t>Petitions for Naturalization, Nebraska (Hastings Division), 1924 - 1951</t>
  </si>
  <si>
    <t>Declarations of Intention for Citizenship, Nebraska (Norfolk Division), 1930 - 1941</t>
  </si>
  <si>
    <t>Petitions for Naturalization, Nebraska (Norfolk Division), 1930 - 1951</t>
  </si>
  <si>
    <t>Declarations of Intention for Citizenship, Nebraska (Lincoln Division), 1933 - 1963</t>
  </si>
  <si>
    <t>Declarations of Intention for Citizenship, Nebraska (Omaha Division), 1867 - 1909</t>
  </si>
  <si>
    <t>Petitions for Naturalization, Nebraska (Omaha Division), 1876 - 1989</t>
  </si>
  <si>
    <t>Petitions for Naturalization, Nebraska (Lincoln Division), 1933 - 1989</t>
  </si>
  <si>
    <t>Petitions for Naturalization, Florida (Tampa Term), 1907 - 1991</t>
  </si>
  <si>
    <t>Declarations of Intention for Citizenship, South Dakota (Western (Deadwood) Division), 1890 - 1900</t>
  </si>
  <si>
    <t>Declarations of Intention for Citizenship, South Dakota (Southern (Sioux Falls) Division), 1894 - 1906</t>
  </si>
  <si>
    <t>Declarations of Intention for Citizenship, South Dakota (Central (Pierre) Division), 1892 - 1892</t>
  </si>
  <si>
    <t>Petitions for Naturalization, South Dakota (Southern (Sioux Falls) Division), 1906 - 1928</t>
  </si>
  <si>
    <t>Declarations of Intention for Citizenship (U.S. Territorial Court for the Second (Yankton) District of the District of Dakota), ca. 1861 - ca. 1883</t>
  </si>
  <si>
    <t>Application Files for Creek Equalization Payments, 1912-1921</t>
  </si>
  <si>
    <t>New Mexico Declaration of Intention Record Books (First Judicial District), 1882 - 1917</t>
  </si>
  <si>
    <t>New Mexico Naturalization Record Books (First Judicial District), 1898 - 1906</t>
  </si>
  <si>
    <t>New Mexico Petitions for Naturalization (First Judicial District), 1906 - 1917</t>
  </si>
  <si>
    <t>New Mexico Certificates of Naturalization (First Judicial District), 1907 - 1917</t>
  </si>
  <si>
    <t>Fourth Registration Draft Cards, 1942 (Colorado)</t>
  </si>
  <si>
    <t>Fourth Registration Draft Cards, 1942 (Utah)</t>
  </si>
  <si>
    <t>Fourth Registration Draft Cards, 1942 (Wyoming)</t>
  </si>
  <si>
    <t>Fourth Registration Draft Cards, 1942 (Montana)</t>
  </si>
  <si>
    <t>New Mexico Naturalization Declarations and Petitions (U.S. District Court), 1912 - 1963</t>
  </si>
  <si>
    <t>Case Files of Deceased and Deserted Seamen, 1873 - 1911</t>
  </si>
  <si>
    <t>New Mexico Declarations of Intention for Naturalization (Fourth Judicial District), 1906 - 1909</t>
  </si>
  <si>
    <t>New Mexico Petitions for Naturalization (Fourth Judicial District), 1906 - 1912</t>
  </si>
  <si>
    <t>Case Files of Deceased and Deserted Seamen, 1912 - 1965</t>
  </si>
  <si>
    <t>Returns from U.S. Consuls Relating to Wages and Effects of Deceased Seamen (Massachusetts), 1872 - 1897</t>
  </si>
  <si>
    <t>Case Files of Deceased and Deserted Seamen, 1909 - 1951</t>
  </si>
  <si>
    <t>Album of Criminals, compiled 1906 - 1906</t>
  </si>
  <si>
    <t>Bankruptcy Act of 1898 Case Files, 1901 - 1945</t>
  </si>
  <si>
    <t>Petitions for Naturalization, Georgia (Athens Division), 1910 - 1991</t>
  </si>
  <si>
    <t>Naturalization Repatriation Case Files, Ohio (Eastern (Cleveland) Division of the Northern District), 1936 - 1976</t>
  </si>
  <si>
    <t>Petitions for Naturalization, Georgia (Macon Division), 1907 - 1991</t>
  </si>
  <si>
    <t>Petitions for Naturalization, Georgia (Columbus Division), 1907 - 1991</t>
  </si>
  <si>
    <t>Montana Naturalization Petition and Record Book (Butte Term), 1926 - 1926</t>
  </si>
  <si>
    <t>Montana Naturalization Petitions (Helena Term), 1907 - 1927</t>
  </si>
  <si>
    <t>Montana Citizenship Record Book (Helena Term), 1891 - 1898</t>
  </si>
  <si>
    <t>Montana Naturalization Records (Helena Term), 1894 - 1906</t>
  </si>
  <si>
    <t>Montana Index to Naturalization Records (Helena Term), 1894 - 1906</t>
  </si>
  <si>
    <t>Montana Naturalization Petition and Record Books (Butte Term), 1910 - 1929</t>
  </si>
  <si>
    <t>Montana Declarations of Intention for Naturalization (Great Falls Term), 1924 - 1924</t>
  </si>
  <si>
    <t>Montana Declarations of Intention for Naturalization (Helena Term), 1892 - 1929</t>
  </si>
  <si>
    <t>Naturalization Petitions and Records, Michigan (Southern (Detroit) Division of the Eastern District), 1906 - 1991</t>
  </si>
  <si>
    <t>Montana Citizenship Record Books (Butte Term), 1894 - 1903</t>
  </si>
  <si>
    <t>Montana Index to Citizenship Record Book (Butte Term), 1894 - 1903</t>
  </si>
  <si>
    <t>Montana Declarations of Intention for Naturalization (Butte Term), 1894 - 1902</t>
  </si>
  <si>
    <t>Montana Index to Declarations of Intention for Naturalization (Butte Term), 1894 - 1902</t>
  </si>
  <si>
    <t>Montana Declarations of Intention for Naturalization (Helena Term), 1891 - 1893</t>
  </si>
  <si>
    <t>Montana Index to Citizenship Record Books (Butte Term), 1894 - 1903</t>
  </si>
  <si>
    <t>Montana Declarations of Intention (Bozeman), 1868 - 1885</t>
  </si>
  <si>
    <t>Passports Surrendered to US Customs Officials, 1917</t>
  </si>
  <si>
    <t>Passport Applications (Chicago, NYC, New Orleans, San Francisco, Seattle), 191401925</t>
  </si>
  <si>
    <t>Special Passport Applications (Military, Civilian Federal Employees and Dependents), 1914-1925</t>
  </si>
  <si>
    <t>Special Diplomatic Passport Applications, 1916-1925</t>
  </si>
  <si>
    <t>Repatriation Records, Michigan (Southern (Detroit) Division of the Eastern District), 1918 - 1970</t>
  </si>
  <si>
    <t>Overseas Military Naturalization Petitions and Records, Michigan (Southern (Detroit) Division of the Eastern District), 1942 - 1956</t>
  </si>
  <si>
    <t>Naturalization Application Files, Michigan (Southern (Detroit) Division of the Eastern District), 1837 - 1897</t>
  </si>
  <si>
    <t>Declarations of Intention, Michigan (Southern (Detroit) Division of the Eastern District), 1856 - 1989</t>
  </si>
  <si>
    <t>Index to Naturalization Records, Ohio (Western (Cincinnati) Division of the Southern District), 1852 - 1906</t>
  </si>
  <si>
    <t>Naturalization Journals, Ohio (Western (Cincinnati) Division of the Southern District), 1858 - 1906</t>
  </si>
  <si>
    <t>Index to Declarations of Intention and Petitions for Naturalization, Ohio (Western (Cincinnati) Division of the Southern District), 1906 - 1942</t>
  </si>
  <si>
    <t>Naturalization Petitions and Records, Ohio (Western (Cincinnati) Division of the Southern District), 1906 - 1963</t>
  </si>
  <si>
    <t>Declarations of Intention, Ohio (Western (Cincinnati) Division of the Southern District), 1906 - 1956</t>
  </si>
  <si>
    <t>Naturalization Repatriation Petitions, Ohio (Western (Cincinnati) Division of the Southern District), 1935 - 1966</t>
  </si>
  <si>
    <t>Naturalization Final Papers, Ohio (Western (Cincinnati) Division of the Southern District), 1859 - 1906</t>
  </si>
  <si>
    <t>Lists of United States Residents Serving in the Canadian Expeditionary Force and Australian Imperial Force, 1917-1918</t>
  </si>
  <si>
    <t>Lists of Men Ordered to Report to Local Board for Military Duty in the District of Columbia, 1917-1918</t>
  </si>
  <si>
    <t>Index to Naturalization Petitions, Illinois (Eastern (Chicago) Division of the Northern District), 1926 - 1979</t>
  </si>
  <si>
    <t>Definitive List of Slaves and Property, ca. 1827 - ca. 1828</t>
  </si>
  <si>
    <t>Descriptive Lists of Colored Volunteers, compiled 1864 - 1864</t>
  </si>
  <si>
    <t>Petitions for Naturalization, Idaho (Southern (Boise) Division), 1903 - 1981</t>
  </si>
  <si>
    <t>Petitions for Naturalization, Idaho (Southern (Boise) Division), 1903-1981</t>
  </si>
  <si>
    <t>Registers of Deaths in the Regular Army, compiled 1860 - 1889</t>
  </si>
  <si>
    <t>Lists of Deaths in the United States Naval Service During the Civil War, compiled 1861 - 1865</t>
  </si>
  <si>
    <t>Register of U.S. Colored Troop Deaths During the Civil War, compiled 1861 - 1865</t>
  </si>
  <si>
    <t>Passport Applications for Declarants, 1907—1911 and 1914—1920</t>
  </si>
  <si>
    <t>Insular Passport Applications for Residents of Puerto Rico and the Philippines, 1913—1925</t>
  </si>
  <si>
    <t>Passport Applications Filed at U.S. Territories and Possessions, 1907—1925 (Honolulu, HI, Philippine Islands, Puerto Rico)</t>
  </si>
  <si>
    <t>Emergency Passport Applications Filed at Diplomatic Posts Abroad, 1907—1923</t>
  </si>
  <si>
    <t>Emergency Passport Applications, 1906—1925 (Argentina thru Venezuela)</t>
  </si>
  <si>
    <t>Applications for Certificates of identity for U.S. Citizens Living in Germany, 1920-1921</t>
  </si>
  <si>
    <t>Consular Registration Certificates, 1916-1925</t>
  </si>
  <si>
    <t>Registration Certificates for Widows, Divorced Women and Minors, compiled 1907 - 1914</t>
  </si>
  <si>
    <t>Naturalization Petitions, Ohio (Eastern (Columbus) Division of the Southern District), 1917 - 1947</t>
  </si>
  <si>
    <t>Certificate of Naturalization Stubs, Ohio (Eastern (Columbus) Division of the Southern District), 1916 - 1926</t>
  </si>
  <si>
    <t>Declarations of Intention, Ohio (Western Division of the Southern District (Dayton Term)), 1916 - 1951</t>
  </si>
  <si>
    <t>Naturalization Petitions, Ohio (Western Division of the Southern District (Dayton Term)), 1916 - 1951</t>
  </si>
  <si>
    <t>Declarations of Intention for Citizenship, Alabama (Mobile Division of the Southern District), 1890 - 1986</t>
  </si>
  <si>
    <t>Rosters of Guerrillas and Philippine Scouts, 1942 - 1978</t>
  </si>
  <si>
    <t>Philippine Veterans Affairs Office (PVAO)</t>
  </si>
  <si>
    <t>Guerrilla Unit Recognition Files, 1941 - 1948</t>
  </si>
  <si>
    <t>Naturalization Petitions, Alabama (Mobile), 1906 - 1969</t>
  </si>
  <si>
    <t>Certificate of Naturalization Stubs, Ohio (Western Division of the Southern District (Dayton Term)), 1916 - 1927</t>
  </si>
  <si>
    <t>Records Relating to Facts for Declarations of Intention, Ohio (Western Division of the Southern District (Dayton Term)), 1916 - 1930</t>
  </si>
  <si>
    <t>Index to Declarations of Intention, Ohio (Western (Toledo) Division of the Northern District), 1878 - 1884</t>
  </si>
  <si>
    <t>Declarations of Intention, Ohio (Western (Toledo) Division of the Northern District), 1878 - 1884</t>
  </si>
  <si>
    <t>Declarations of Intention for Citizenship, Ohio (Western (Toledo) Division of the Northern District), 1907 - 1990</t>
  </si>
  <si>
    <t>Declarations of Intentions for Minors, Ohio (Western (Toledo) Division of the Northern District), 1878 - 1880</t>
  </si>
  <si>
    <t>Index to Petitions for Naturalization, Ohio (Western (Toledo) Division of the Northern District), ca. 1932 - 1949</t>
  </si>
  <si>
    <t>Index to Naturalization Journal, Ohio (Western (Toledo) Division of the Northern District), 1875 - 1900</t>
  </si>
  <si>
    <t>Naturalization Journal, Ohio (Western (Toledo) Division of the Northern District), 1875 - 1900</t>
  </si>
  <si>
    <t>Declarations of Intention for Citizenship, Alabama (Montgomery Division of the Middle District), 1907-1960</t>
  </si>
  <si>
    <t>Petitions for Naturalization, Kentucky (Louisville Term), 1906 - 1978</t>
  </si>
  <si>
    <t>Declarations of Intention for Citizenship, Kentucky (Western District, Louisville Term), 1906 - 1976</t>
  </si>
  <si>
    <t>Petitions for Naturalization, Kentucky (Bowling Green Term), 1915 - 1976</t>
  </si>
  <si>
    <t>Naturalization Cards, Colorado, 1880 - 1906</t>
  </si>
  <si>
    <t>Petitions for Naturalization, Tennessee (Eastern (Jackson) Division of the Western District), 1921 - 1929</t>
  </si>
  <si>
    <t>Press Releases and Related Records, compiled 1942 - 1945</t>
  </si>
  <si>
    <t>Crew Lists and Returns of Seamen, 1797 - 1818</t>
  </si>
  <si>
    <t>Crew Lists for the Port of Salem and Beverly, 1797 - 1934</t>
  </si>
  <si>
    <t>Shipping Articles for the Port of Salem and Beverly, 1810 - 1899</t>
  </si>
  <si>
    <t>Revolutionary War Service and Imprisonment Cards</t>
  </si>
  <si>
    <t>War of 1812 Service Records (Lake Erie)</t>
  </si>
  <si>
    <t>Petitions for Naturalization, Kentucky (Covington Term), 1910 - 1991</t>
  </si>
  <si>
    <t>Declarations of Intention for Citizenship, Kentucky (Eastern District, Covington Term), 1911 - 1980</t>
  </si>
  <si>
    <t>Naturalization Certificate Stubs, Georgia (Americus Division), 1926 - 1983</t>
  </si>
  <si>
    <t>Naturalization Certificate Stubs, Georgia (Athens Division), 1930 - 1991</t>
  </si>
  <si>
    <t>Declarations of Intention for Citizenship, Georgia (Athens Division of the Middle District), 1907 - 1985</t>
  </si>
  <si>
    <t>Petitions for Naturalization, Georgia (Savannah Division), 1907 - 1991</t>
  </si>
  <si>
    <t>Petitions for Naturalization, Florida (Fort Lauderdale Term), 1976 - 1987</t>
  </si>
  <si>
    <t>Petitions for Naturalization, Florida (Fort Pierce Term), 1982 - 1984</t>
  </si>
  <si>
    <t>Petitions for Naturalization, Florida (Gainesville Term), 1930 - 1987</t>
  </si>
  <si>
    <t>Petitions for Naturalization, Florida (Jacksonville Term), 1880 - 1975</t>
  </si>
  <si>
    <t>Petitions for Naturalization, Florida (Key West Term), 1847 - 1969</t>
  </si>
  <si>
    <t>Petitions for Naturalization, Florida (Orlando Term), 1973 - 1991</t>
  </si>
  <si>
    <t>Petitions for Naturalization, Florida (Pensacola Term), 1884 - 1972</t>
  </si>
  <si>
    <t>Petitions for Naturalization, Florida (Tallahassee Term), 1929 - 1987</t>
  </si>
  <si>
    <t>Petitions for Naturalization, Florida (West Palm Beach Term), 1975 - 1986</t>
  </si>
  <si>
    <t>Declarations of Intention for Citizenship, Florida (Northern District, Gainesville Term), 1930 - 1988</t>
  </si>
  <si>
    <t>Declarations of Intention for Citizenship, Florida (Southern District, Jacksonville Term), 1892 - 1928</t>
  </si>
  <si>
    <t>Declarations of Intention for Citizenship, Florida (Southern District, Key West Term), 1867 - 1957</t>
  </si>
  <si>
    <t>Declarations of Intention for Citizenship, Florida (Middle District, Orlando Term), 1963 - 1990</t>
  </si>
  <si>
    <t>Declarations of Intention for Citizenship, Florida (Northern District, Pensacola Term), 1868 - 1945</t>
  </si>
  <si>
    <t>Declarations of Intention for Citizenship, Florida (Northern District, Tallahassee Term), 1930 - 1985</t>
  </si>
  <si>
    <t>Declarations of Intention for Citizenship, Florida (Middle District, Tampa Term), 1909 - 1976</t>
  </si>
  <si>
    <t>Applications for Enrollment and Allotment of Washington Indians, 1911 - 1919</t>
  </si>
  <si>
    <t>Petitions for Naturalization Transferred from Other Courts, Geogia (Augusta Division), 1953 - 1969</t>
  </si>
  <si>
    <t>Petitions for Naturalization, Georgia (Augusta Division), 1909 - 1970</t>
  </si>
  <si>
    <t>Declarations of Intention for Citizenship, Georgia (Augusta Division of the Southern District), 1909 - 1970</t>
  </si>
  <si>
    <t>Declarations of Intention for Citizenship, Georgia (Rome Division of the Northern District), 1906 - 1964</t>
  </si>
  <si>
    <t>First Registration Draft Cards for the State of Arkansas, 1940 - 1945</t>
  </si>
  <si>
    <t>Draft Registration Cards for the State of Louisiana, 1940 - 1945</t>
  </si>
  <si>
    <t>Draft Registration Cards for Oklahoma, 1940-1945</t>
  </si>
  <si>
    <t>Draft Registration Cards for Texas, 1940-1945</t>
  </si>
  <si>
    <t>Second Registration Draft Cards for the State of Arkansas, 1948 - 1959</t>
  </si>
  <si>
    <t>Second Registration Draft Cards for the State of Louisiana, 1948 - 1959</t>
  </si>
  <si>
    <t>Petitions for Naturalization Transferred from Other Courts, George (Macon Division), 1954 - 1991</t>
  </si>
  <si>
    <t>Naturalization Petitions Transferred from Other Courts, Georgia (Valdosta Division), 1953 - 1983</t>
  </si>
  <si>
    <t>Petitions for Naturalization Transferred from Other Courts, North Carolina (Raleigh Term of the Eastern District), 1987 - 1996</t>
  </si>
  <si>
    <t>Declarations of Intention for Citizenship, South Carolina (District Court for the Charleston Division), 1886-1991</t>
  </si>
  <si>
    <t>Petitions for Naturalization, South Carolina (Columbia Division), 1866 - 1991</t>
  </si>
  <si>
    <t>Petitions for Naturalization, South Carolina (Greenville Division of the Western District), 1910 - 1965</t>
  </si>
  <si>
    <t>Petitions for Naturalization, South Carolina (Aiken Term of the Eastern District), 1917 - 1926</t>
  </si>
  <si>
    <t>Petitions for Naturalization, South Carolina (Florence Division of the Eastern District) 1911 - 1929</t>
  </si>
  <si>
    <t>Declarations of Intention for Citizenship, Mississippi (Southern Division, Biloxi Term), 1906 - 1986</t>
  </si>
  <si>
    <t>Petitions for Naturalization, Georgia (Brunswick Division), 1939 - 1982</t>
  </si>
  <si>
    <t>Petitions for Naturalization, Georgia (Thomasville Division), 1938 - 1981</t>
  </si>
  <si>
    <t>Petitions for Naturalization, Georgia (Valdosta Division), 1929 - 1991</t>
  </si>
  <si>
    <t>Declarations of Intention for Citizenship, Kentucky (Western District, Owensboro Term), 1915 - 1978</t>
  </si>
  <si>
    <t>Declarations of Intention for Citizenship, Mississippi (Jackson Division of the Southern District), 1911 - 1958</t>
  </si>
  <si>
    <t>Declarations of Intention for Citizenship, Georgia (Valdosta Division of the Middle District), 1912 - 1970</t>
  </si>
  <si>
    <t>Declarations of Intention for Citizenship, North Carolina (Middle District, Greensboro Term), 1910 - 1981</t>
  </si>
  <si>
    <t>Petitions for Naturalization, Mississippi (Western (Vicksburg) Division of the Southern District), 1907 - 1956</t>
  </si>
  <si>
    <t>Petitions for Naturalization Transferred from Other Courts, Alabama (Birmingham), 1953 - 1991</t>
  </si>
  <si>
    <t>Petitions for Naturalization Transferred from Other Courts, Georgia (Columbus Division), 1953 - 1986</t>
  </si>
  <si>
    <t>Petitions for Naturalization Transferred from Other Courts, Georgia (Savannah Division), 1953 - 1991</t>
  </si>
  <si>
    <t>Petitions for Naturalization Transferred from Other Courts, Georgia (Atlanta Division), 1953 - 1986</t>
  </si>
  <si>
    <t>Declarations of Intention for Citizenship, North Carolina (Western District, Asheville Term), 1918 - 1971</t>
  </si>
  <si>
    <t>Petitions for Naturalization, North Carolina (Asheville Term of the Western District), 1907 - 1971</t>
  </si>
  <si>
    <t>Declarations of Intention for Citizenship, Georgia (Columbus Division of the Middle District), 1907 - 1983</t>
  </si>
  <si>
    <t>Declarations of Intention for Citizenship, Georgia (Atlanta Division of the Northern District) 1904 - 1987</t>
  </si>
  <si>
    <t>Historical Files, 1934 - 1965</t>
  </si>
  <si>
    <t>Declarations of Intention for Citizenship, Georgia (Savannah Division of the Southern District) 1825 - 1980</t>
  </si>
  <si>
    <t>Declarations of Intention for Citizenship, Georgia (Macon Division of the Middle District), 1906 - 1977</t>
  </si>
  <si>
    <t>Declarations of Intention for Citizenship, Georgia (Brunswick Division of the Southern District), 1938 - 1987</t>
  </si>
  <si>
    <t>Declarations of Intention for Citizenship, Georgia (Gainesville Division of the Northern District), 1939 - 1952</t>
  </si>
  <si>
    <t>Declarations of Intention for Citizenship, North Carolina (Western District, Charlotte Term), 1930 - 1985</t>
  </si>
  <si>
    <t>Declarations of Intention for Citizenship, North Carolina (Eastern District, New Bern Term), 1930 - 1987</t>
  </si>
  <si>
    <t>Declarations of Intention for Citizenship, North Carolina (Western District, Statesville Term), 1916 - 1954</t>
  </si>
  <si>
    <t>Declarations of Intention for Citizenship, North Carolina (Eastern District, Wilmington Term), 1910 - 1978</t>
  </si>
  <si>
    <t>Declarations of Intention for Citizenship, North Carolina (Eastern District, Washington Term), 1912 - 1929</t>
  </si>
  <si>
    <t>Declarations of Intention for Citizenship, North Carolina (Western District, Wilkesboro Term), 1910 - 1926</t>
  </si>
  <si>
    <t>Masters' Oaths for Renewals of Licenses of Vessels (Olympia, Washington), 1927 - 1950</t>
  </si>
  <si>
    <t>Repatriation Oaths of Allegiance, New Jersey (Newark Term), 1921 - 1970</t>
  </si>
  <si>
    <t>Petitions for Naturalization Overseas Military, New Jersey (Newark Term), 1955 - 1956</t>
  </si>
  <si>
    <t>Petitions for Naturalization Overseas Military, New Jersey (Newark Term), 1942 - 1945</t>
  </si>
  <si>
    <t>Military Petitions for Naturalization, New Jersey (Newark Term), 6/15/1918 - 12/31/1946</t>
  </si>
  <si>
    <t>Declarations of Intention for Citizenship, Tennessee (Northeastern (Greenville) Division of the Eastern District), 1914 - 1979</t>
  </si>
  <si>
    <t>Petitions for Naturalization Transferred from Other Courts, North Carolina (Charlotte Term of the Western District), 1954 - 1991</t>
  </si>
  <si>
    <t>Petitions for Naturalization, North Carolina (Charlotte Term of the Western District), 1929 - 1991</t>
  </si>
  <si>
    <t>Petitions for Naturalization, North Carolina (Wilmington Term of the Eastern District), 1910 - 1991</t>
  </si>
  <si>
    <t>Petitions for Naturalization, North Carolina (New Bern Term of the Eastern District), 1920 - 1991</t>
  </si>
  <si>
    <t>Petitions for Naturalization, North Carolina (Greensboro Term of the Middle District), 1875 - 1991</t>
  </si>
  <si>
    <t>Repatriation Oaths of Allegiance, North Carolina (Asheville Term of the Western District), 1929 - 1956</t>
  </si>
  <si>
    <t>Coastwise Slave Manifests, Mobile, 1820 - 1860</t>
  </si>
  <si>
    <t>Division of Passport Control: Applications for Extension and Amendment of Passports, 1918—1925</t>
  </si>
  <si>
    <t>Military Petitions for Naturalization, New Jersey (Trenton Term), 1918 - 1919</t>
  </si>
  <si>
    <t>Fourth Registration Draft Cards, 1942 (Connecticut)</t>
  </si>
  <si>
    <t>Fourth Registration Draft Cards, 1942 (New Hampshire)</t>
  </si>
  <si>
    <t>Fourth Registration Draft Cards, 1942 (Vermont)</t>
  </si>
  <si>
    <t>Fourth Registration Draft Cards, 1942 (Rhode Island)</t>
  </si>
  <si>
    <t>U.S. Consular Reports of Births, 1910-1949 part of the series "Decimal Files, 1910-1949"</t>
  </si>
  <si>
    <t>Fourth Registration Draft Cards, 1942 (New York City)</t>
  </si>
  <si>
    <t>Fourth Registration Draft Cards, 1942 (New Jersey)</t>
  </si>
  <si>
    <t>Fourth Registration Draft Cards, 1942 (Puerto Rico)</t>
  </si>
  <si>
    <t>Naturalization Dockets, Texas (Houston Division of the Southern District), 1927-1945</t>
  </si>
  <si>
    <t>Naturalization Petitions for Soldiers, Texas (Houston Division of the Southern District), 1918-1928</t>
  </si>
  <si>
    <t>Petitions for Naturalization Transferred from Other Courts, North Carolina (Greensboro Term of the Middle District), 1953 - 1992</t>
  </si>
  <si>
    <t>Petitions for Naturalization Transferred from Other Courts, North Carolina (New Bern Term of the Eastern District), 1959 - 1993)</t>
  </si>
  <si>
    <t>Petitions for Naturalization Transferred from Other Courts, Alaska (U.S. District Court for the Anchorage Division), 1960 - 1992</t>
  </si>
  <si>
    <t>Petitions for Naturalization Transferred from Other Courts, Alaska (U.S. Territorial Court for the Third (Anchorage) Division), 1953 - 1960</t>
  </si>
  <si>
    <t>Naturalization Orders Granted and Denied, North Carolina (Washington Term of the Eastern District), 1931 - 1944</t>
  </si>
  <si>
    <t>Petitions for Naturalization, North Carolina (Wilson Term of the Eastern District), 1928 - 1953</t>
  </si>
  <si>
    <t>Petitions for Naturalization, North Carolina (Statesville Term of the Western District), 1915 - 1942</t>
  </si>
  <si>
    <t>Petitions for Naturalization, North Carolina (Wilkesboro Term of the Western District), 1910 - 1920</t>
  </si>
  <si>
    <t>Petitions for Naturalization, North Carolina (Elizabeth City Term of the Eastern District), 1874 - 1960</t>
  </si>
  <si>
    <t>Petitions for Naturalization, North Carolina (Raleigh Term of the Eastern District), 1912 - 1990</t>
  </si>
  <si>
    <t>Law, Civil, and Admiralty Records, North Carolina (U.S. District Court for the Cape Fear District), 1794 - 1860</t>
  </si>
  <si>
    <t>Naturalization Certificate Stubs, North Carolina (Charlotte Term of the Western District), 1927 - 1991</t>
  </si>
  <si>
    <t>Declarations of Intention for Citizenship, North Carolina (Eastern District, Elizabeth City Term), 1930 - 1957</t>
  </si>
  <si>
    <t>Naturalization Depositions, North Carolina (Greensboro Term of the Middle District), 1914 - 1974</t>
  </si>
  <si>
    <t>Monthly Naturalization Reports, North Carolina (Charlotte Term of the Western District), 1965 - 1991</t>
  </si>
  <si>
    <t>Naturalization Certificate Stubs, North Carolina (Wilmington Term of the Eastern District), 1929 - 1992</t>
  </si>
  <si>
    <t>Naturalization Certificate Stubs, North Carolina (New Bern Term of the Eastern District), 1961 - 1992</t>
  </si>
  <si>
    <t>Naturalization Certificate Stubs, North Carolina (Greensboro Term of the Middle District), 1926 - 1991</t>
  </si>
  <si>
    <t>Naturalization Certificate Stubs, North Carolina (Fayetteville Term of the Eastern District), 1926 - 1991</t>
  </si>
  <si>
    <t>Naturalization Certificate Stubs, North Carolina (Raleigh Term of the Eastern District), 1926 - 1991</t>
  </si>
  <si>
    <t>Naturalization Certificate Stubs, North Carolina (Washington Term of the Eastern District), 1915 - 1929</t>
  </si>
  <si>
    <t>Registers of Aliens in Oregon (Portland (Oregon) Station), 1942 - 1942</t>
  </si>
  <si>
    <t>Draft Registration Cards for Virginia, 1940-1947</t>
  </si>
  <si>
    <t>Draft Registration Cards for West Virginia, 1940-1947</t>
  </si>
  <si>
    <t>Index to Naturalization Petitions for Soldiers, Texas (Brownsville Division of the Southern District), ca. 1918 - ca. 1926</t>
  </si>
  <si>
    <t>Naturalization Petitions for Soldiers, Texas (Brownsville Division of the Southern District), 1918-1926</t>
  </si>
  <si>
    <t>Stubs of Naturalization Certificates, Texas (Corpus Christi Division of the Southern District), 1913-1927</t>
  </si>
  <si>
    <t>Naturalization Petitions by Military Servicemen, Texas (Corpus Christi Division of the Southern District), 1918-1945</t>
  </si>
  <si>
    <t>Lists of Granted, Denied, and Continued Naturalization Petitions, Texas (Corpus Christi Division of the Southern District), 1953-1977</t>
  </si>
  <si>
    <t>Stubs of Naturalization Certificates, Texas (Southern District, Galveston Term), 1908-1921</t>
  </si>
  <si>
    <t>Naturalization Certificate Stubs, Mississippi (Delta (Clarksdale) Division of the Northern District), 1912 - 1927</t>
  </si>
  <si>
    <t>Naturalization Certificate Stubs, Mississippi (Southern Division), 1924 - 1991</t>
  </si>
  <si>
    <t>Naturalization Certificate Stubs, Mississippi (Jackson Division of the Southern District), 1915 - 1957</t>
  </si>
  <si>
    <t>Naturalization Certificate Stubs, Mississippi (Eastern (Meridian) Division of the Southern District), 1912 - 1946</t>
  </si>
  <si>
    <t>Naturalization Certificate Stubs, Tennessee (Winchester Division of the Eastern District), 1924-1964</t>
  </si>
  <si>
    <t>Naturalization Certificate Stubs, Tennessee (Northeastern (Greenville) Division of the Eastern District), 1930 - 1992</t>
  </si>
  <si>
    <t>Naturalization Certificate Stubs, Tennessee (Nashville Division of the Middle District), 1919-1991</t>
  </si>
  <si>
    <t>Dockets Relating to Status of Naturalization Petitions, Texas (Laredo Division of the Southern District), 1918-1950</t>
  </si>
  <si>
    <t>Stubs of Naturalization Certificates, Texas (Laredo Division of the Southern District), 1908-1928</t>
  </si>
  <si>
    <t>Naturalization Petitions by Military Servicemen, Texas (Laredo Division of the Southern District), 1918-1956</t>
  </si>
  <si>
    <t>Stubs of Naturalization Certificates Issued to Military Servicemen, Texas (Laredo Division of the Southern District), 1918-1918</t>
  </si>
  <si>
    <t>Draft Registration Cards for Maryland, 1940-1947</t>
  </si>
  <si>
    <t>Montana Index to Naturalization Records (Helena Term), 1891 - 1898</t>
  </si>
  <si>
    <t>Aliens' Declarations of Intention to Become Citizens, Maine (Southern Division), 10/6/1911 - 1984</t>
  </si>
  <si>
    <t xml:space="preserve">Dockets Containing Naturalization Petitions, U.S. District Court for the District of Utah, 1906 - 1930 </t>
  </si>
  <si>
    <t>Hospital Tickets and Case Papers, compiled 1825 - 1889</t>
  </si>
  <si>
    <t>Burial Records, 1898 - 1931</t>
  </si>
  <si>
    <t>Registers of Patients at Naval Hospitals, 1812 - 1929</t>
  </si>
  <si>
    <t>Coastwise Slave Manifests, Charleston, 1820 - 1858</t>
  </si>
  <si>
    <t>Coastwise Slave Manifests, Beaufort, South Carolina, 1826 - 1830</t>
  </si>
  <si>
    <t>Naturalization Petitions for Soldiers, Texas (Southern District, Galveston Term), 1918-1945</t>
  </si>
  <si>
    <t>Application for Seamen's Protection Certificates, 1916 - 1940</t>
  </si>
  <si>
    <t>Merchant Marine Officer License Applications (Puget Sound, Washington), 1889 - 1910</t>
  </si>
  <si>
    <t>U.S., Lists of Merchant Seamen Lost in WWI, 1914-1919</t>
  </si>
  <si>
    <t>Masters' Oaths for Renewals of Licenses of Vessels (Port Townsend, Washington), 1912 - 1941</t>
  </si>
  <si>
    <t>Oaths of New Masters, Collection District of Washington, 1930 - 1967</t>
  </si>
  <si>
    <t>Masters' Oaths for Renewals of Licenses of Vessels (Washington), 1914 - 1966</t>
  </si>
  <si>
    <t>Naturalization Overseas Military Petitions, North Carolina (Greensboro Term of the Middle District), 1943 - 1956</t>
  </si>
  <si>
    <t>Petitions for Naturalization Transferred from Other Courts, Tennessee (Northern (Knoxville) Division of the Eastern District), 1953 - 1971</t>
  </si>
  <si>
    <t>Petitions for Naturalization Transferred from Other Courts, Mississippi (Southern (Biloxi) Division of the Southern District), 1953 - 1964</t>
  </si>
  <si>
    <t>Petitions and Records of Naturalization for Military Personnel, Maine (Southern Division), 7/1918 - 2/1919</t>
  </si>
  <si>
    <t>Masters' Oaths for Renewals of Licenses of Vessels (Bellingham, Washington), 1959 - 1962</t>
  </si>
  <si>
    <t>First Registration Draft Cards for the State of Idaho, 1940-1945</t>
  </si>
  <si>
    <t>First Registration Draft Cards for the State of Montana, 1940-1945</t>
  </si>
  <si>
    <t>First Registration Draft Cards for the State of Oregon, 1940-1945</t>
  </si>
  <si>
    <t>First Registration Draft Cards for the State of Washington, 1940-1945</t>
  </si>
  <si>
    <t>Petitions for Naturalization, South Carolina (Charleston Term), 1906 - 1912</t>
  </si>
  <si>
    <t>Naturalization Certificate Stubs, Tennessee (Southern (Chattanooga) Division of the Eastern District), 1957-1991</t>
  </si>
  <si>
    <t>Draft Registration Cards for Alaska , 1940 - 1945</t>
  </si>
  <si>
    <t>Military Petitions for Naturalization, Tennessee (Northern (Knoxville) Division of the Eastern District), 1944 - 1955</t>
  </si>
  <si>
    <t>Masters' and Owners' Oaths on Registry, License or Enrollment (Washington), 1916 - 1966</t>
  </si>
  <si>
    <t>Petitions for Naturalization, Puerto Rico, 1901 - 1981</t>
  </si>
  <si>
    <t>Petitions for Naturalization, North Carolina (Fayetteville Term of the Eastern District), 1926 - 1927</t>
  </si>
  <si>
    <t>Abstracts of Protection Granted American Seamen (Fall River, Massachusetts), 4/1837 - 2/1865</t>
  </si>
  <si>
    <t>Proofs of Citizenship (Fall River, Massachusetts), 1/1843 - 5/1868</t>
  </si>
  <si>
    <t>Crew List Bonds (Fall River, Massachusetts), 5/1845 - 8/1902</t>
  </si>
  <si>
    <t>Naturalization Certificate Stubs, Florida (Miami Term), 1921 - 1991</t>
  </si>
  <si>
    <t>Certificates of Discharge of Seamen for the Port of Fall River, 5/1917 - 4/1922</t>
  </si>
  <si>
    <t>Crew Lists of Outgoing Vessels (Fall River, Massachusetts), 5/1845 - 9/1852</t>
  </si>
  <si>
    <t>Crew Lists of Incoming Vessels, 1831 - 1853</t>
  </si>
  <si>
    <t>Index to Military Naturalization Petitions, Florida (Jacksonville Term), 1918 - 1918</t>
  </si>
  <si>
    <t>Crew Lists for the Port of Fall River , 1864 - 1896</t>
  </si>
  <si>
    <t>Stubs of Naturalization Certificates, Fort Smith Division of the Western District, 1907 - 1926</t>
  </si>
  <si>
    <t>CTN</t>
  </si>
  <si>
    <t>Records of Testimony of Witnesses (Connecticut. Court of Common Pleas (Litchfield County), 3/22/1875 - 9/21/1900</t>
  </si>
  <si>
    <t>Certificates of Arrival (Connecticut. City Court (New Haven)), 10/1913 - 10/1920</t>
  </si>
  <si>
    <t>Records of Testimony of Witnesses , 9/9/1868 (Connecticut. Superior Court (Litchfield County)) - 2/9/1876</t>
  </si>
  <si>
    <t>Stubs of Naturalization Certificates, 1907-1968, U.S. District Court for the Texarkana Division of the Western District of Arkansas.</t>
  </si>
  <si>
    <t>Lists of Petitions Granted, 1932-1942, U.S. District Court for the Northern (Batesville) Division of the Eastern District of Arkansas.</t>
  </si>
  <si>
    <t>Petitions by Military Servicemen, 1918 - 1954, U.S. District Court for the Western (Little Rock) Division of the Eastern District of Arkansas</t>
  </si>
  <si>
    <t>Index to Petitions, Declarations of Intentions, and Repatriation Oaths, ca. 1906 - 1974, U.S. District Court for the Western (Little Rock) Division of the Eastern District of Arkansas.</t>
  </si>
  <si>
    <t>Lists of Granted, Denied, and Continued Petitions, compiled 1940 - 1950, U.S. District Court for the Eastern (Helena) Division of the Eastern District of Arkansas.</t>
  </si>
  <si>
    <t>Petitions and Records of Naturalization, Rhode Island (U.S. District Court), 1842 - ca. 1991</t>
  </si>
  <si>
    <t>Applications for Seamen's Protection Certificates and Identification Cards for Boston, compiled 02/12/1918 - 11/24/1939</t>
  </si>
  <si>
    <t>Stub Books for Protection Certificates Issued to Seamen (Boston and Charlestown, Massachusetts), 12/24/1929 - 11/24/1939</t>
  </si>
  <si>
    <t>Aliens' Applications for Seamen's Service and Protection Certificates for Boston, compiled 12/1931 - 07/1935</t>
  </si>
  <si>
    <t>Stub Book for Service and Protection Certificates Issued to Aliens Serving as American Seamen (Boston and Charlestown, Massachusetts), 12/1931 - 7/1935</t>
  </si>
  <si>
    <t>Seamens' Identification Cards, 1917-1922 Series Title: Seamen's Identification Cards ("Passports") + Subseries: 1) Departures, 1917-1919, 2) Departures, 1919-1921, and 3) Landings, 1918</t>
  </si>
  <si>
    <t>Correspondence and Documents Relating to Seamen's Protection Certificates and Identification Cards for Boston, 1920 - 1940</t>
  </si>
  <si>
    <t>Applications for Seamen's Protection Certificates or Certificates of American Citizenship (Fall River, Massachusetts), 1/1930 - 6/1937</t>
  </si>
  <si>
    <t>Seamen's Protection Certificates and Identification Cards (Fall River, Massachusetts), 9/1917 - 1/1930</t>
  </si>
  <si>
    <t>Seamen's Coastwise Identification Cards for Marblehead, compiled 07/1918 - 10/1918</t>
  </si>
  <si>
    <t>Applications for Seamen's Protection Certificates for Portland, compiled 08/1927 - 11/1937</t>
  </si>
  <si>
    <t>Correspondence Relating to Seamen's Protection Certificates and Identification Cards for Portland (Maine), 1927 - 1940</t>
  </si>
  <si>
    <t>Stub Books for Protection Certificates Issues to Seamen for Portland (Maine), 1/6/1929-11/5/1937</t>
  </si>
  <si>
    <t>Applications for Seamen's Protection Certificates for Providence, compiled 05/1928 - 10/1940</t>
  </si>
  <si>
    <t>Stub Books for Protection Certificates Issued to Seamen for Providence (Rhode Island), 12/14/1929 - 10/2/1940</t>
  </si>
  <si>
    <t>Seamen's Coastwise Identification Cards for Salem, compiled 07/1918 - 12/1918</t>
  </si>
  <si>
    <t>Seamen's Coastwise Identification Cards for Vineyard Haven, compiled 07/1918 - 11/1918</t>
  </si>
  <si>
    <t>Naturalization Records, Colorado (Denver Term), 1973 - 1986</t>
  </si>
  <si>
    <t>Naturalization Certificate Stubs, North Carolina (New Bern Term of the Eastern District), 1907 - 1960</t>
  </si>
  <si>
    <t>Naturalization Certificate Stubs, Florida (Key West Term), 1921 - 1983</t>
  </si>
  <si>
    <t>Naturalization Certificate Stubs, Florida (Fort Pierce Term), 1982 - 1986</t>
  </si>
  <si>
    <t>Naturalization Certificate Stubs, Florida (Fort Lauderdale Term), 1977 - 1985</t>
  </si>
  <si>
    <t>Petitions for Naturalization Transferred from Other Courts, Georgia (Americus Division), 1957 - 1980</t>
  </si>
  <si>
    <t>Petitions for Naturalization, Georgia (Americus Division), 1928 - 1987</t>
  </si>
  <si>
    <t>Repatriation Oaths of Allegiance, Georgia (Augusta Division), 1940 - 1968</t>
  </si>
  <si>
    <t>Naturalization Certificate Stubs, Florida (West Palm Beach Term), 1975 - 1985</t>
  </si>
  <si>
    <t>Naturalization Certificate Stubs, Florida (Miami Term), 1907 - 1927</t>
  </si>
  <si>
    <t>Declarations of Intention for Citizenship, Kentucky (Eastern District, Pikeville Term), 1938 - 1952</t>
  </si>
  <si>
    <t>Petitions by Military Servicemen, Texas (Austin Division of the Western District), 1918-1955</t>
  </si>
  <si>
    <t>Lists of Granted, Denied, or Continued Petitions, Texas (Austin Division of the Western District), 1936-1973</t>
  </si>
  <si>
    <t>Stubs of Naturalization Certificates, Texas (Austin Division of the Western District), 1907-1926</t>
  </si>
  <si>
    <t>Declarations of Intention filed in State District Court, Texas (Del Rio Division of the Western District), 1908-1914</t>
  </si>
  <si>
    <t>Petitions by Military Servicemen, Texas (Del Rio Division of the Western District), 1918-1954</t>
  </si>
  <si>
    <t>Copies of Witness Affidavits, Texas (Del Rio Division of the Western District), 1918-1918</t>
  </si>
  <si>
    <t>Stubs of Naturalization Certificates, Texas (Del Rio Division of the Western District), 1909-1927</t>
  </si>
  <si>
    <t>Lists of Granted, Denied, or Continued Petitions, Texas (Del Rio Division of the Western District), 1926-1983</t>
  </si>
  <si>
    <t>Naturalization Certificate Stubs, Georgia (Columbus Division)1907 - 1926</t>
  </si>
  <si>
    <t>Naturalization Certificate Stubs, Georgia (Athens Division), 1907 - 1930</t>
  </si>
  <si>
    <t>Naturalization Certificate Stubs, Georgia (Savannah District), 1909 - 1991</t>
  </si>
  <si>
    <t>Naturalization Certificate Stubs, Georgia (Atlanta Division), 1908 - 1922</t>
  </si>
  <si>
    <t>Naturalization Certificate Stubs, Mississippi (Western (Vicksburg) Division of the Southern District), 1932 - 1948</t>
  </si>
  <si>
    <t>Petitions for Naturalization Transferred from Other Courts, Florida (Orlando Term), 1969 - 1982</t>
  </si>
  <si>
    <t>Term Docket, Texas (El Paso Division of the Western District), 1907-1918</t>
  </si>
  <si>
    <t>Petitions by Military Servicemen, Texas (El Paso Division of the Western District), 1917-1956</t>
  </si>
  <si>
    <t>Lists of Granted Petitions, Texas (El Paso Division of the Western District), 1926-1988</t>
  </si>
  <si>
    <t>Lists of Continued Petitions, Texas (El Paso Division of the Western District), 1926-1947</t>
  </si>
  <si>
    <t>Lists of Denied Petitions, Texas (El Paso Division of the Western District), 1927-1987</t>
  </si>
  <si>
    <t>Stubs of Naturalization Certificates, Texas (El Paso Division of the Western District), 1907-1926</t>
  </si>
  <si>
    <t>Petitions for Naturalization, Georgia (Atlanta Division), 1848 - 1903</t>
  </si>
  <si>
    <t>Naturalization Depositions, Georgia (Atlanta Division), 1972 - 1978</t>
  </si>
  <si>
    <t>Index to Naturalization Petitions, Mississippi (Southern Division, Biloxi Term), 1951 - 1991</t>
  </si>
  <si>
    <t>New Mexico Naturalization Records (U.S. District Court), 1962 - 1983</t>
  </si>
  <si>
    <t>Transfer Petitions for Naturalization, New Jersey (Trenton Term), 1953 - 1981</t>
  </si>
  <si>
    <t>Index to Naturalization Records, New Jersey (Newark Term), 1914 - 1982</t>
  </si>
  <si>
    <t>Index to Naturalization Petitions, Georgia (Rome Division), 1906 - 1918</t>
  </si>
  <si>
    <t>Consolidated Lists of Civil War Draft Registration Records, 1863-1865</t>
  </si>
  <si>
    <t>Certificate of Naturalization Receipt Stubs, New Jersey (Newark Term), 1914 - 1926</t>
  </si>
  <si>
    <t>Crew Lists for the Port of Eastport (Maine), 1882 - 1958</t>
  </si>
  <si>
    <t>Crew Lists (Belfast, Maine), 1818 - 1873</t>
  </si>
  <si>
    <t>Term Dockets, Texas (San Antonio Division of the Western District), 1907-1917</t>
  </si>
  <si>
    <t>Index to Naturalization Petitions, Texas (San Antonio Division), ca. 1933 - 1985</t>
  </si>
  <si>
    <t>Index to Naturalization Petitions, Georgia (Macon Division), 1930 - 1966</t>
  </si>
  <si>
    <t>Index to Naturalization Petitions, Georgia (Columbus Division), 1933 - 1944</t>
  </si>
  <si>
    <t>Naturalization Letters Received, Louisiana (New Orleans Term of the Eastern District), 9/1912 - 6/1926</t>
  </si>
  <si>
    <t>Letters Received from the Bureau of Immigration and Naturalization, Louisiana (New Orleans Term of the Eastern District), 10/1906 - 5/1922</t>
  </si>
  <si>
    <t>Letters of Authorization for Duplication of Naturalization Papers, Louisiana (New Orleans Term of the Eastern District), 1/1919 - 5/1929</t>
  </si>
  <si>
    <t>Declarations of Intention, Oklahoma (Eastern District), 1909 - 1988</t>
  </si>
  <si>
    <t>Petitions, Oklahoma (Eastern District), 1908 - 1987</t>
  </si>
  <si>
    <t>Petitions by Military Servicemen, Oklahoma (Eastern District), 1944 - 1945</t>
  </si>
  <si>
    <t>Transferred Petitions, Oklahoma (Eastern District), 1954 - 1978</t>
  </si>
  <si>
    <r>
      <rPr>
        <u/>
        <sz val="12"/>
        <color rgb="FF1155CC"/>
        <rFont val="Calibri"/>
      </rPr>
      <t>Stubs of Naturalization Certificates, Oklahoma (Eastern District and Northern (Muskogee) Division of the Indian Territory, 1894 - 1929</t>
    </r>
    <r>
      <rPr>
        <sz val="12"/>
        <color rgb="FF000000"/>
        <rFont val="Calibri"/>
      </rPr>
      <t xml:space="preserve"> </t>
    </r>
  </si>
  <si>
    <r>
      <rPr>
        <u/>
        <sz val="12"/>
        <color rgb="FF1155CC"/>
        <rFont val="Calibri"/>
      </rPr>
      <t>Applications to Regain Citizenship and Repatriation, Oklahoma (Eastern District), 1940 - 1944</t>
    </r>
    <r>
      <rPr>
        <sz val="12"/>
        <color rgb="FF000000"/>
        <rFont val="Calibri"/>
      </rPr>
      <t xml:space="preserve"> </t>
    </r>
  </si>
  <si>
    <t>Petitions, Oaths, and Orders (1904 - 1906 ), U.S. District Court for the Central (South McAlester) Division of the Indian Territory.(03/01/1895 - 06/16/1906)</t>
  </si>
  <si>
    <t>Indiana Index to Declarations of Intention and Petitions for Naturalization (Indianapolis), 10/30/1907 - ca. 10/1962</t>
  </si>
  <si>
    <t>Crew List Bonds (Barnstable, Massachusetts), 1842 - 1894</t>
  </si>
  <si>
    <t>Indiana Index to Declarations of Intention and Petitions for Naturalization (Indianapolis), 4/29/1927 - 5/19/1992</t>
  </si>
  <si>
    <t>Records Relating to Seamen (Gloucester, Massachusetts), 1796 - 1909</t>
  </si>
  <si>
    <t>Naturalization Minutes, Texas (Austin Division of the Western District), 1872-1877</t>
  </si>
  <si>
    <t>Crew Lists (Edgartown, Massachusetts), 1822 - 1866</t>
  </si>
  <si>
    <t>Naturalization Certificate Stubs, Indiana (Indianapolis Division), ca. 1918 - 1925</t>
  </si>
  <si>
    <t>Petitions for Naturalization, Indiana (Indianapolis Division of the Southern District), 1907 - 1991</t>
  </si>
  <si>
    <t>Crew Lists (Portland, Maine), 1887 - 1915</t>
  </si>
  <si>
    <t>Crew List Bonds (Newport, Rhode Island), 1830 - 1868</t>
  </si>
  <si>
    <t>Records of Seamen's Certificates of American Citizenship (Portland, Maine), 1918 - 1927</t>
  </si>
  <si>
    <t>Records Relating to Seamen (Marblehead, Massachusetts), 1790 - 1908</t>
  </si>
  <si>
    <t>Naturalization Certificates,  U.S. Territorial Court for the Northern (Muskogee) Division of the Indian Territory, 1889 - 1906</t>
  </si>
  <si>
    <t>Crew Lists (Newport, Rhode Island), 1795 - 1930</t>
  </si>
  <si>
    <t>Crew Lists (Frenchman's Bay, Maine), 1896 - 1915</t>
  </si>
  <si>
    <t>Records Relating to Seamen (Newport, Rhode Island), 1812 - 1879</t>
  </si>
  <si>
    <t>Masters' Oaths for Renewals of Licenses of Vessels (Coos Bay, Oregon), 1914 - 1967</t>
  </si>
  <si>
    <t>Declarations of Persons Who Retained Spanish Citizenship, Puerto Rico, 1900 - 1941</t>
  </si>
  <si>
    <t>Declarations of Allegiance, Puerto Rico (San Juan Term), 1939 - 1940</t>
  </si>
  <si>
    <t>Petitions for Naturalization Transferred from Other Courts, Puerto Rico, 1953 - 1971</t>
  </si>
  <si>
    <t>Certificate of Naturalization Receipt Stubs, Puerto Rico, 1917 - 1927</t>
  </si>
  <si>
    <t>Naturalization Letters Sent, Louisiana (New Orleans Term of the Eastern District), 10/1906 - 06/1924</t>
  </si>
  <si>
    <t>Orders Admitting Aliens to Citizenship, Louisiana (New Orleans Term of the Eastern District), 03/1836 - 03/1903</t>
  </si>
  <si>
    <t>Petitions and Applications, Louisiana (New Orleans Term of the Eastern District), 1838 - 1903</t>
  </si>
  <si>
    <t>Oaths of Applicants, Louisiana (New Orleans Term of the Eastern District), 1876 - 1903</t>
  </si>
  <si>
    <t>Notices for Applications, Louisiana (New Orleans Term of the Eastern District), 1911 - 1924</t>
  </si>
  <si>
    <t>Questionnaires for Declarations of Intention, Louisiana (New Orleans Term of the Eastern District), ca. 1906 - 1928</t>
  </si>
  <si>
    <t>Depositions of Witnesses in Naturalization Proceedings, Louisiana (Eastern District, New Orleans Term), 1908 - 1927</t>
  </si>
  <si>
    <t>Questionnaires for Petitions for Naturalization, Louisiana (New Orleans Term of the Eastern District), ca. 1911 - ca. 1929</t>
  </si>
  <si>
    <t>Declarations of Intention for Citizenship, Puerto Rico, 1900 - 969</t>
  </si>
  <si>
    <t>Naturalization Petitions Transferred from New Orleans, Louisiana (New Orleans Term of the Eastern District), 1975 - 1993</t>
  </si>
  <si>
    <t>Repatriation Oaths of Allegiance, Puerto Rico, 1942 - 1973</t>
  </si>
  <si>
    <t>Military Petitions for Naturalization, Puerto Rico, 1944 - 1955</t>
  </si>
  <si>
    <t>Naturalization Petitions Transferred to New Orleans, Louisiana (New Orleans Term of the Eastern District), 1953 - 1995</t>
  </si>
  <si>
    <t>Lists of Granted, Denied, and Continued Petitions, Louisiana (New Orleans Term of the Eastern District), 1929 - 2000</t>
  </si>
  <si>
    <t>Petitions by Military Servicemen, Louisiana (New Orleans Term of the Eastern District), 1943 - 1955</t>
  </si>
  <si>
    <t>Stubs of Naturalization Certificates, Louisiana (New Orleans Term of the Eastern District), 06/1907 - 12/1926</t>
  </si>
  <si>
    <t>Petitions for Name Changes, Louisiana (New Orleans Term of the Eastern District), 1992 - 2001</t>
  </si>
  <si>
    <t>Naturalization Status Reports, Louisiana (New Orleans Term of the Eastern District), 1990 - 1994</t>
  </si>
  <si>
    <t>Lists of Naturalized Citizens and Oaths of Allegiance, Louisiana (New Orleans Term of the Eastern District), 03/1991 - 07/2001</t>
  </si>
  <si>
    <t>Abandoned Certificates of Arrival, Questionnaires, and Declarations, Louisiana (New Orleans Term of the Eastern District), 1926 - 1927</t>
  </si>
  <si>
    <t>Petitions by Military Servicemen, Texas (Beaumont Division of the Eastern District), 1943-1944</t>
  </si>
  <si>
    <t>Lists of Granted, Denied, or Continued Petitions, Texas (Beaumont Division of the Eastern District), 1938-1991</t>
  </si>
  <si>
    <t>Stubs of Naturalization Certificates, Beaumont Division of the Eastern District), 1907-1925</t>
  </si>
  <si>
    <t>Fourth Registration Draft Cards, 1942 (Alaska)</t>
  </si>
  <si>
    <t>Lists of Granted Petitions, Texas (Abilene Division of the Northern District), 1929-1987</t>
  </si>
  <si>
    <t>Petitions by Military Servicemen, Texas (Abilene Division of the Northern District), 1943-1944</t>
  </si>
  <si>
    <t>Petitions for Name Changes during Naturalization Proceedings, Texas (Dallas Division of the Northern District), 1995-2003</t>
  </si>
  <si>
    <t>Masters' Oaths for Renewals of Licenses of Vessels (Oregon), 1942 - 1967</t>
  </si>
  <si>
    <t>Stubs of Naturalization Certificates, Texas (Dallas Division of the Northern District), 1901-1925</t>
  </si>
  <si>
    <t>Masters' and Owners' Oaths on Registry, License or Enrollment (Oregon), 1897 - 1967</t>
  </si>
  <si>
    <t>Petitions by Military Servicemen, Texas (Dallas Division of the Northern District), 1918-1955</t>
  </si>
  <si>
    <t>Lists of Granted, Continued, or Denied Petitions, Texas (Dallas Division of the Northern District), 1930-2002</t>
  </si>
  <si>
    <t>Masters' and Owners' Oaths on Registry, License or Enrollment (Coos Bay, Oregon), 1953 - 1963</t>
  </si>
  <si>
    <t>Index to Petitioners, Texas (Dallas Division), 1908 - 1991</t>
  </si>
  <si>
    <t>Records of Naturalization, Connecticut (Court of Common Pleas, Hartford County), 1874-1906</t>
  </si>
  <si>
    <t>Index to Records of Naturalization, (Connecticut. Superior Court (Hartford County)), 8/26/1834 - 5/13/1898</t>
  </si>
  <si>
    <t>Petitions by Military Servicemen, Texas (Fort Worth Division of the Northern District), 1918-1928</t>
  </si>
  <si>
    <t>Lists of Granted, Continued, and Denied Petitions, Texas, Fort Worth Division of the Northern District), 1930-1967</t>
  </si>
  <si>
    <t>Stubs of Naturalization Certificates, Texas (Fort Worth Division of the Northern District), 1914-1924</t>
  </si>
  <si>
    <t>Records of Testimony of Witnesses (Connecticut. Superior Court (Middlesex County)), 3/7/1871 - 9/27/1907</t>
  </si>
  <si>
    <t>Petitions by Military Servicemen, Texas (Lubbock Division of the Northern District), 1942-1954</t>
  </si>
  <si>
    <t>Lists of Granted Petitions, Texas (Lubbock Division of the Northern District), 1931-1959</t>
  </si>
  <si>
    <t>Oaths of Petitioners for Citizenship and Witnesses, Texas (Eastern District, Galveston Term), 1872-1896</t>
  </si>
  <si>
    <t>Stubs of Naturalization Certificates, Texas (San Angelo Division of the Northern District), 1913-1925</t>
  </si>
  <si>
    <t>Petitions for Naturalization, Alabama (Birmingham), 1909 - 1991</t>
  </si>
  <si>
    <t>Petitions for Naturalization, Alabama (Florence), 1922 - 1926</t>
  </si>
  <si>
    <t>Petitions for Naturalization, Alabama (Selma), 1909 - 1943</t>
  </si>
  <si>
    <t>Declarations of Intention for Citizenship, Alabama (Florence Division of the Northern District), 1923-1929</t>
  </si>
  <si>
    <t>Declarations of Intention for Citizenship, Alabama (Huntsville Division of the Northern District), 1923 - 1925</t>
  </si>
  <si>
    <t>Military Petitions for Naturalization, Alabama (Birmingham), 1918 - 1924</t>
  </si>
  <si>
    <t>Military Petitions for Naturalization, Alabama (Montgomery), 1918 - 1958</t>
  </si>
  <si>
    <t>Overseas Military Petitions for Naturalization, Alabama (Birmingham), 1922 - 1986</t>
  </si>
  <si>
    <t>Petitions by Military Servicemen, Texas (Amarillo Division of the Northern District), 1944-1955</t>
  </si>
  <si>
    <t>Lists of Granted, Continued, and Denied Petitions, Texas (Amarillo Division of the Northern District), 1928-1964</t>
  </si>
  <si>
    <t>Index to Naturalizations (Connecticut. City Court (New Britain)), 6/6/1917 - 9/26/1939</t>
  </si>
  <si>
    <t>Orders of Court Granting or Denying Petitions for Naturalization (Connecticut. City Court (New Britain)), 10/9/1929 - 7/17/1940</t>
  </si>
  <si>
    <t>Announcements of Sessions for Naturalizations (Connecticut. Superior Court (New London County)), 10/1/1918 - 11/7/1933</t>
  </si>
  <si>
    <t>Naturalization Case Files, Puerto Rico, 1917 - 1970</t>
  </si>
  <si>
    <t>Crew Lists for the Port of Rockland (Maine), 1930 - 1947</t>
  </si>
  <si>
    <t>Records Relating to Seamen (Rockland, Maine), 1877 - 1923</t>
  </si>
  <si>
    <t>Montana Naturalization Certificate Stub Books (Helena Term), 1907 - 1927</t>
  </si>
  <si>
    <t>Records of Testimony of Witnesses for Minors Naturalized (Connecticut. Court of Common Pleas (New Haven County)), 10/20/1902 - 11/3/1902</t>
  </si>
  <si>
    <t>Declarations of Intention for Citizenship, Alabama (Birmingham Division of the Northern District), 1910-1992</t>
  </si>
  <si>
    <t>Repatriation Oaths of Allegiance, Washington (Western District, Seattle Term), 1918 - 1972</t>
  </si>
  <si>
    <t>Repatriation Oaths of Allegiance, Washington (Western District, Tacoma Term), 1919 - 1969</t>
  </si>
  <si>
    <t>Repatriation Oaths of Allegiance, Washington (Eastern District, Yakima Term), 1936 - 1960</t>
  </si>
  <si>
    <t>Repatriation Oaths of Allegiance, Oregon, 1936 - 1972</t>
  </si>
  <si>
    <t>Masters' Oaths for Renewals of Licenses of Vessels (Astoria, Oregon), 1913 - 1942</t>
  </si>
  <si>
    <t>Masters' and Owners' Oaths on Registry, License or Enrollment (Astoria, Oregon), 1907 - 1943</t>
  </si>
  <si>
    <t>Certificate of Naturalization Receipt Stubs, Washington (Western District, Seattle Term), 1907-1990</t>
  </si>
  <si>
    <t>Certificate of Naturalization Receipt Stubs, Washington (Western District, Tacoma Term), 1913-1991</t>
  </si>
  <si>
    <t>Oaths of Office of Collectors and Other Customs Officers (Collection District of Perth Amboy, New Jersey), 1806 - 1869</t>
  </si>
  <si>
    <t>Draft Registration Cards for Delaware, 1940-1947</t>
  </si>
  <si>
    <t>Crew Lists for Boothbay (Maine), 1873 - 1944</t>
  </si>
  <si>
    <t>Crew List Bonds (Stonington, Connecticut), 1842 - 1858</t>
  </si>
  <si>
    <t>Records Relating to Seamen (Stonington, Connecticut), 1858 - 1891</t>
  </si>
  <si>
    <t>Records Relating to Seamen (York, Maine), 1809 - 1885</t>
  </si>
  <si>
    <t>Crew Lists for St. George (Maine), 1886 - 1897</t>
  </si>
  <si>
    <t>Masters' Oaths for Renewals of Licenses of Vessels (Aberdeen, Washington), 1924 - 1966</t>
  </si>
  <si>
    <t>Permits to Land Merchandise (Collection District of Perth Amboy, New Jersey), 1806 - 1818</t>
  </si>
  <si>
    <t>Massachusetts, Boston, Crew Lists, 1811-1921</t>
  </si>
  <si>
    <t>Draft Registration Cards for Arizona, 1940-1947</t>
  </si>
  <si>
    <t>Draft Registration Cards for Wyoming, 1940-1947</t>
  </si>
  <si>
    <t>Certificate of Naturalization Receipt Stubs, Idaho (Southern (Boise) Division), 1907-1925</t>
  </si>
  <si>
    <t>Certificate of Naturalization Receipt Stubs, Idaho (Northern (Coeur d'Alene) Division), 1912-1925</t>
  </si>
  <si>
    <t>Certificate of Naturalization Receipt Stubs, Idaho (Central (Moscow) Division), 1908-1964</t>
  </si>
  <si>
    <t>Certificate of Naturalization Receipt Stubs, Idaho (Eastern (Pocatello) Division), 1909-1941</t>
  </si>
  <si>
    <t>Recommendations for Unit Awards, 1970 - 1973</t>
  </si>
  <si>
    <t>Index to Correspondence (Collection District of Perth Amboy, New Jersey), ca. 1872 - ca. 1875</t>
  </si>
  <si>
    <t>Certificates of Health (Collection District of Perth Amboy, New Jersey), 1818 - 1820</t>
  </si>
  <si>
    <t>Hospital Records, New Jersey (Collection District of Perth Amboy), 1802 - 1881</t>
  </si>
  <si>
    <t>Draft Registration Cards for the District of Columbia, 1940-1947</t>
  </si>
  <si>
    <t>Legal Documents (Collection District of Perth Amboy, New Jersey), 1800 - 1832</t>
  </si>
  <si>
    <t>Letters Received From the Bureau of Immigration and Naturalization, Louisiana (New Orleans Term of the Eastern District), 11/1906 - 12/1911</t>
  </si>
  <si>
    <t>Orders Admitting to Citizenship, Louisiana (New Orleans Division of the Eastern District), 06/1839 - 05/1898</t>
  </si>
  <si>
    <t>Declarations of Intention, Louisiana (New Orleans Term of the Eastern District), 03/1892 - 05/1903</t>
  </si>
  <si>
    <t>Records of Imports and Exports (Collection District of Perth Amboy, New Jersey), 1795 - 1881</t>
  </si>
  <si>
    <t>Oaths of Applicants, Louisiana (New Orleans Term of the Eastern District), 1863 - 1898</t>
  </si>
  <si>
    <t>Depositions of Witnesses, Louisiana (Eastern District, New Orleans Term), 1908 - 1911</t>
  </si>
  <si>
    <t>Questionnaires for Petitions for Naturalization, Louisiana (New Orleans Term of the Eastern District) ca. 1906 - 1911</t>
  </si>
  <si>
    <t>Petitions, Louisiana (New Orleans Term of the Eastern District), 1906 - 1911</t>
  </si>
  <si>
    <t>Stubs of Naturalization Certificates, Louisiana (New Orleans Term of the Eastern District), 01/1907 - 12/1911</t>
  </si>
  <si>
    <t>Records of Vessel Licenses and Enrollments (Collection District of Perth Amboy, New Jersey), 1809 - 1832</t>
  </si>
  <si>
    <t>Records Relating to Customs (Collection District of Perth Amboy, New Jersey), ca. 1820 - 1882</t>
  </si>
  <si>
    <t>WWII War Diaries, 1942-1945</t>
  </si>
  <si>
    <t>Orders Granting Citizenship, Oklahoma (Eastern District and Central (South McAlester) Division of the Indian Territory), 1890-1903</t>
  </si>
  <si>
    <t>Declarations of Intention, Oklahoma (Eastern District and Central (South McAlester) Division of the Indian Territory), 1891 - 1907</t>
  </si>
  <si>
    <t>Petitions and Orders for Minors, Oklahoma (Eastern District, Central (South McAlester) Division of the Indian Territory), 1891 - 1903</t>
  </si>
  <si>
    <t>Petitions, Oklahoma (Eastern District and Central (South McAlester) Division of the Indian Territory), 1906 - 1907</t>
  </si>
  <si>
    <t>Lists of Granted, Continued, or Denied Petitions, Louisiana (Alexandria Division of the Western District), 1930 - 1959</t>
  </si>
  <si>
    <t>Lists of Granted, Continued, or Denied Petitions, Louisiana (Alexandria Division of the Western District), 1930 - 2008</t>
  </si>
  <si>
    <t>Petitions by Military Servicemen, Louisiana (Alexandria Division of the Western District), 1945 - 1945</t>
  </si>
  <si>
    <t>Transferred Petitions, Louisiana (Lake Charles Division of the Western District), 1953 - 1977</t>
  </si>
  <si>
    <t>Lists of Granted, Denied, and Continued Petitions, Louisiana (Lake Charles Division of the Western District), 1929 - 1978</t>
  </si>
  <si>
    <t>Petitions by Military Servicemen, Louisiana (Monroe Division of the Western District), 1942 - 1955</t>
  </si>
  <si>
    <t>List of Granted, Denied, and Continued Petitions, Louisiana (Monroe Division of the Western District), 1929 - 1956</t>
  </si>
  <si>
    <t>Lists of Granted, Continued, and Denied Petitions, Louisiana (Opelousas Division of the Western District), 1930 - 1955</t>
  </si>
  <si>
    <t>Sampled Bankruptcy Act of 1898 Case Files, 1921 - 1970</t>
  </si>
  <si>
    <t>Declarations of Intention and Petitions, Louisiana (Shreveport Division of the Western DIstrict), 1885 - 1891</t>
  </si>
  <si>
    <t>Lists of Granted, Denied, or Continued Petitions, Louisiana (Shreveport Division of the Western District), 1929 - 1988</t>
  </si>
  <si>
    <t>Stubs of Naturalization Certificates, Louisiana (Baton Rouge Division of the Eastern District), 1909 - 1913</t>
  </si>
  <si>
    <t>Applications to Regain Citizenship and Repatriation Oaths, Louisiana (Baton Rouge Division of the Eastern District), 1939 - 1954/1888 - 12/18/1971)</t>
  </si>
  <si>
    <t>Petitions for Naturalization, West Virginia (Charleston Division of the Southern District), 1906 - 1929</t>
  </si>
  <si>
    <t>Records Relating to Seamen (Bath, Maine), 1889 - 1918</t>
  </si>
  <si>
    <t>Hospital Records, New Jersey (Collection District of Little Egg Harbor), 1824 - 1892</t>
  </si>
  <si>
    <t>Records Relating to Seamen (Bangor, Maine), 1915 - 1922</t>
  </si>
  <si>
    <t>Crew Lists (Portsmouth, New Hampshire), 1816 - 1942</t>
  </si>
  <si>
    <t>Records Relating to Seamen (Portsmouth, New Hampshire), 1813 - 1946</t>
  </si>
  <si>
    <t>Valorous Unit Awards, 1967 - 1971</t>
  </si>
  <si>
    <t>Meritorious Unit Commendations, 1967 - 1971</t>
  </si>
  <si>
    <t>Records Relating to Crew Lists (New Bedford, Massachusetts), 1808 - 1939</t>
  </si>
  <si>
    <t>Crew Lists of Whaling Vessels, ca. 1820 - ca. 1915</t>
  </si>
  <si>
    <t>Records Relating to Seamen (New Haven, Connecticut), 1801 - 1937</t>
  </si>
  <si>
    <t>Copies of Petitions and Records of Naturalization in New England Courts, 1939 - ca. 1942 (1787-1906)</t>
  </si>
  <si>
    <t>Records Relating to Crew Lists (New London, Connecticut), 1792 - 1924</t>
  </si>
  <si>
    <t>Records Relating to Seamen (New London, Connecticut), 1796 - 1947</t>
  </si>
  <si>
    <t>Certificate of Naturalization Receipt Stubs, New Jersey (Camden Term), 1932 - 1982</t>
  </si>
  <si>
    <t>Index to Petitions for Naturalization, New Jersey (Camden Term), 1932 - 1991</t>
  </si>
  <si>
    <t>Certificate of Naturalization Receipt Stubs, New Jersey (Trenton Term), 1907 - 1988</t>
  </si>
  <si>
    <t>Crew Lists (Marblehead, Massachusetts), 1803 - 1915</t>
  </si>
  <si>
    <t>Records of Naturalizations, Oklahoma (Southern (Ardmore) Division of the Indian Territory), 1897 - 1906</t>
  </si>
  <si>
    <t>Naturalization Petitions, Colorado, 1982 - 1988</t>
  </si>
  <si>
    <t>Draft Registration Cards for Pennsylvania, 1940-1947</t>
  </si>
  <si>
    <t>First Registration Draft Cards for the State of North Carolina, 1940-1945</t>
  </si>
  <si>
    <t>Stubs of Naturalization Certificates, Texas (Abilene Division of the Northern District), 1918-1929</t>
  </si>
  <si>
    <t>Excise Tax Assessment Lists, Maine (Collection District 5, Ellsworth), 1867-1874</t>
  </si>
  <si>
    <t>Excise Tax Assessment Lists, Maine (Collection District 4, Carmel/Bangor), 1867-1874</t>
  </si>
  <si>
    <t>Excise Tax Assessment Lists, Massachusetts (Collection District 6, Charlestown), 1867-1874</t>
  </si>
  <si>
    <t>Excise Tax Assessment Lists, New Hampshire (Collection District 1, Dover), 1867-1874</t>
  </si>
  <si>
    <t>Excise Tax Assessment Lists, New Hampshire (Collection District 2, Manchester), 1867-1874</t>
  </si>
  <si>
    <t>Excise Tax Assessment Lists, Maine (Collection District 2, East Wilton), 1867-1874</t>
  </si>
  <si>
    <t>Excise Tax Assessment Lists, Maine (Collection District 3, Augusta), 1867-1874</t>
  </si>
  <si>
    <t>Term Docket, Texas (Pecos Division of the Western District), ca. 1919-1927</t>
  </si>
  <si>
    <t>Cadet Nurse Corps Files, compiled 1943 - 1948, documenting the period 1942 - 1948</t>
  </si>
  <si>
    <t>Crew Lists for Castine (Maine), 1812 - 1912</t>
  </si>
  <si>
    <t>Index to Correspondence Related to Merchant Seaman Who Were Investigated, 1917 - 1917</t>
  </si>
  <si>
    <t>Petitions for Naturalization, Kentucky (Catlettsbury Term), 1913 - 1929</t>
  </si>
  <si>
    <t>Petitions for Naturalization, Kentucky (Jackson Term), 1911 - 1940</t>
  </si>
  <si>
    <t>Naturalization Depositions, Washington (Western District, Seattle Term), 1916-1976</t>
  </si>
  <si>
    <t>Naturalization Depositions, Washington (Eastern District, Spokane Term), 1908-1957</t>
  </si>
  <si>
    <t>Naturalization Depositions, Washington (Western District, Tacoma Term), 1912-1957</t>
  </si>
  <si>
    <t>Naturalization Depositions, Oregon, 1903-1981</t>
  </si>
  <si>
    <t>Petitions for Naturalization, Kentucky (Lexington Term), 1922 - 1930</t>
  </si>
  <si>
    <t>Petitions for Naturalization, Kentucky (Richmond Term), 1913 - 1950</t>
  </si>
  <si>
    <t>Declarations of Intention for Citizenship, Kentucky (Eastern District, Richmond Term), 1912 - 1954</t>
  </si>
  <si>
    <t>Declarations of Intention for Citizenship, Kentucky (Eastern District, Jackson Term), 1911 - 1952</t>
  </si>
  <si>
    <t>Crew Lists (Middletown, Connecticut), 1803 - 1873</t>
  </si>
  <si>
    <t>Records Relating to Seamen (Hartford, Connecticut), 1805 - 1918</t>
  </si>
  <si>
    <t>Excise Tax Assessment Lists, Maine (Collection District 1, Portland), 1867-1874</t>
  </si>
  <si>
    <t>Crew Lists, 1815 - 1917</t>
  </si>
  <si>
    <t>Declarations of Intention for Citizenship, Kentucky (Eastern District, Frankfort Term), 1910 - 1928</t>
  </si>
  <si>
    <t>Petitions for Naturalization, Kentucky (Frankfort Term), 1912 - 1951</t>
  </si>
  <si>
    <t>Indiana Index to Petitions for Naturalization (Fort Wayne), 6/10/1930 - 8/17/1984</t>
  </si>
  <si>
    <t>Petitions for Naturalization, Kentucky (London Term), 1913 - 1973</t>
  </si>
  <si>
    <t>Petitions for Naturalization Transferred from Other Courts, Kentucky (London Term), 1955 - 1971</t>
  </si>
  <si>
    <t>Military Petitions for Naturalization, Kentucky (Louisville Term), 1918 - 1921</t>
  </si>
  <si>
    <t>Excise Tax Assessment Lists, Rhode Island (Collection District 2, Providence), 1867-1873</t>
  </si>
  <si>
    <t>Excise Tax Assessment Lists, Vermont (Collection District 1), 1864-1873</t>
  </si>
  <si>
    <t>Excise Tax Assessment Lists, Vermont (Collection District 2), 1867-1874</t>
  </si>
  <si>
    <t>Excise Tax Assessment Lists, Vermont (Collection District 3), 1869-1874</t>
  </si>
  <si>
    <t>Homestead Final Certificates, Ohio (Chillicothe Land Office), 1863 - 1876</t>
  </si>
  <si>
    <t>Excise Tax Assessment Lists, Massachusetts (Collection District 1, New Bedford), 1867-1874</t>
  </si>
  <si>
    <t>Indiana Index to Petitions for Naturalization (South Bend), 1/17/1955 - 5/3/1967</t>
  </si>
  <si>
    <t>Indiana Index to Petitions for Naturalization (South Bend), 1/17/1955 - 11/13/1991</t>
  </si>
  <si>
    <t>Petitions for Naturalization Transferred from Other Courts, Oregon, 1954-1991</t>
  </si>
  <si>
    <t>Petitions for Naturalization Transferred from Other Courts, Washington (Western District, Seattle Term), 1954 - 1994</t>
  </si>
  <si>
    <t>Petitions for Naturalization Transferred from Other Courts, Washington (Eastern District, Spokane Term), 1953-1992</t>
  </si>
  <si>
    <t>Petitions for Naturalization Transferred from Other Courts, Washington (Western District, Tacoma Term), 1953 - 1988</t>
  </si>
  <si>
    <t>Petitions for Naturalization Transferred from Other Courts, Washington (Eastern District, Yakima Term), 1954-1971</t>
  </si>
  <si>
    <t>Naturalization Depositions, North Carolina (Wilmington Term of the Easter District), 1936 - 1957</t>
  </si>
  <si>
    <t>Indiana Index to Petitions for Naturalization (Hammond), 4/14/1956 - 9/13/1984</t>
  </si>
  <si>
    <t>Petitions for Naturalization, Indiana (Fort Wayne Division of the Northern District), 1930 - 1984</t>
  </si>
  <si>
    <t>Excise Tax Assessment Lists, Massachusetts (Collection District 9, Fitchburg), 1867-1874</t>
  </si>
  <si>
    <t>Declarations of Intention for Citizenship, New York (Eastern District), 1865 - 1971</t>
  </si>
  <si>
    <t>Index to Naturalization Petitions, Idaho (Twin Falls County), 1907-1982</t>
  </si>
  <si>
    <t>Petitions for Naturalization, New York (Western District), 1903 - 1991</t>
  </si>
  <si>
    <t>Monthly Reports of Naturalization Proceedings, Louisiana (New Orleans Term of the Eastern District), 1924 - 1927</t>
  </si>
  <si>
    <t>Excise Tax Assessment Lists, Massachusetts (Collection District 4, Boston), 1866-1874</t>
  </si>
  <si>
    <t>Excise Tax Assessment Lists, Rhode Island (Collection District 1, Providence), 1867-1873</t>
  </si>
  <si>
    <t>Excise Tax Assessment Lists, Massachusetts (Collection District 5, Newburyport), 1867-1874</t>
  </si>
  <si>
    <t>Lists of Granted, Continued, and Denied Naturalization Petitions, New York (Western District), 1928 - 1992</t>
  </si>
  <si>
    <t>Excise Tax Assessment Lists, Massachusetts (Collection District 8, Worcester), 1867-1874</t>
  </si>
  <si>
    <t>Overseas Military Petitions for Naturalization, Washington (Western District, Seattle Term), 1943 - 1946</t>
  </si>
  <si>
    <t>Overseas Military Petitions for Naturalization, Washington (Eastern District, Spokane Term), 1944 - 1956</t>
  </si>
  <si>
    <t>Overseas Military Petitions for Naturalization, Oregon, 1942 - 1956</t>
  </si>
  <si>
    <t>Overseas Military Petitions for Naturalization, Washington (Western District, Tacoma Term), 1954 - 1955</t>
  </si>
  <si>
    <t>Military Petitions for Naturalization, Oregon, 1868 - 1918</t>
  </si>
  <si>
    <t>Excise Tax Assessment Lists, Massachusetts (Collection District 3, Boston), 1862-1917</t>
  </si>
  <si>
    <t>Excise Tax Assessment Lists, Massachusetts (Collection District 7, Boston), 1867-1874</t>
  </si>
  <si>
    <t>Excise Tax Assessment Lists, Massachusetts (Collection District 10, North Adams), 1867-1874</t>
  </si>
  <si>
    <t>Excise Tax Assessment Lists, New Hampshire (Collection District 3, Cornish), 1867-1874</t>
  </si>
  <si>
    <t>Records Relating to Crew Lists (Bridgeport, Connecticut), 1802 - 1900</t>
  </si>
  <si>
    <t>Questionnaires for Petitions for Naturalization, Washington (Western District, Seattle Term), ca. 1908 - ca. 1925</t>
  </si>
  <si>
    <t>Declarations of Intention for Citizenship, Kentucky (Eastern District, Lexington Term), 1922 - 1929</t>
  </si>
  <si>
    <t>Monthly Reports of Naturalization Papers Forwarded, Indiana (Fort Wayne Division of the Northern District), 1930 - 1963</t>
  </si>
  <si>
    <t>Naturalization Orders, Indiana (Fort Wayne Division of the Northern District), 1930 - 1988</t>
  </si>
  <si>
    <t>Draft Registration Cards for New Mexico, 1940-1947</t>
  </si>
  <si>
    <t>Records Relating to Crew Lists (New Haven, Connecticut), 1801 - 1911</t>
  </si>
  <si>
    <t>Homestead Final Certificates, Iowa (Council Bluffs Land Office), 1863 - 1875</t>
  </si>
  <si>
    <t>Homestead Final Certificates, Iowa (Sioux City Land Office), 1863 - 1878</t>
  </si>
  <si>
    <t>Homestead Final Certificates, Iowa (Fort Dodge Land Office), 1863 - 1874</t>
  </si>
  <si>
    <t>Homestead Final Certificates, Iowa (Des Moines Land Office), 1863 - 1908</t>
  </si>
  <si>
    <t>Homestead Final Certificates, Indiana (Brookville-Indianapolis Land Office), 1875 - 1909</t>
  </si>
  <si>
    <t>Census, Birth, Death, and Marriage Records of the Pribilof Islands (St. Paul Island), 1877 - 1970</t>
  </si>
  <si>
    <t>Census, Birth, Death, and Marriage Records of the Pribilof Islands (St. George Island), 1877 - 1970</t>
  </si>
  <si>
    <t>Petitions for Naturalization, Michigan (Southern (Grand Rapids) Division of the Western District), 1/10/1907 - 11/13/1991</t>
  </si>
  <si>
    <t>Draft Registration Cards for the U.S. Virgin Islands, 1940-1947</t>
  </si>
  <si>
    <t>Records Relating to Seamen (Fairfield, Connecticut), 1859 - 1869</t>
  </si>
  <si>
    <t>Index to Alien Case Files at the National Archives at Kansas City, ca. 1975 - 2012</t>
  </si>
  <si>
    <t>Interment Control Forms, ca. 1928 - 1962</t>
  </si>
  <si>
    <t>Draft Registration Cards for Colorado, 1940-1947</t>
  </si>
  <si>
    <t>Petitions for Naturalization, Indiana (Evansville Division of the Southern District), 1929 - 1977</t>
  </si>
  <si>
    <t>Naturalization Orders, Indiana (Evansville Division of the Southern District), 1930 - 1959</t>
  </si>
  <si>
    <t>Records Relating to Seamen (New London, Connecticut), 1851 - 1930</t>
  </si>
  <si>
    <t>Report of the Office of the Secretary of Defense Vietnam Task Force ("Pentagon Papers")</t>
  </si>
  <si>
    <t>Indiana Index to Petitions for Naturalization (Hammond), 12/11/1907 - 2/1/1985</t>
  </si>
  <si>
    <t>Naturalization Orders, Indiana (Hammond Division of the Northern District), 1932 - 1993</t>
  </si>
  <si>
    <t>Naturalization Certificate Registers, Georgia (Savannah Division), 1918 - 1926</t>
  </si>
  <si>
    <t>List of Naturalization Certificates, District 2, 1905 - 1906</t>
  </si>
  <si>
    <t>Naturalization Records, Colorado , 1/1/1987 - 12/31/1990</t>
  </si>
  <si>
    <t>Naturalization Index, Missouri (Eastern (St. Louis) Division of the Eastern District), ca. 1930 - 1991</t>
  </si>
  <si>
    <t>Draft Registration Cards for Utah, 1940-1947</t>
  </si>
  <si>
    <t>Land Grants and List of Grants or Allotments of Lands to the Pueblo Indians, 1854 - 1925</t>
  </si>
  <si>
    <t>Acoma Pueblo Survey Investigation, ca. 1876 - ca. 1886</t>
  </si>
  <si>
    <t>Index to Records of the Secretary of the Territory, 1854 - 1925</t>
  </si>
  <si>
    <t>Petitions for Naturalization, Indiana (Hammond Division of the Northern District), 1907 - 1985</t>
  </si>
  <si>
    <t>Registers of Land Titles, 1854 - 1854</t>
  </si>
  <si>
    <t>Record Book, ca. 2/4/1855 - ca. 5/10/1872</t>
  </si>
  <si>
    <t>Record Book, 1891 - 1904</t>
  </si>
  <si>
    <t>Docket Book, 1891 - ca. 8/6/1902</t>
  </si>
  <si>
    <t>Docket Book, 1854 - 1925</t>
  </si>
  <si>
    <t>Land Grant Case Files, 1849 - ca. 1934</t>
  </si>
  <si>
    <t>Records of Land Claims, 1891 - 1904</t>
  </si>
  <si>
    <t>Appearance Docket, ca. 1891 - ca. 1903</t>
  </si>
  <si>
    <t>Land Grant Case Files, 1891 - 1898</t>
  </si>
  <si>
    <t>Journals, 12/1/1891 - 6/15/1904</t>
  </si>
  <si>
    <t>Vacation Minute Book, 1893 - 1903</t>
  </si>
  <si>
    <t>Roll of Attorneys, ca. 1892 - ca. 1896</t>
  </si>
  <si>
    <t>Letters Sent, 8/9/1854 - 4/19/1897</t>
  </si>
  <si>
    <t>Letters Received, 8/5/1854 - 5/8/1876</t>
  </si>
  <si>
    <t>General Index to Letters Received, 8/5/1854 - 3/18/1899</t>
  </si>
  <si>
    <t>Letterpress Book of Grant Papers, 5/13/1881 - 11/25/1882</t>
  </si>
  <si>
    <t>Administrative Records, ca. 3/28/1902 - ca. 2/24/1908</t>
  </si>
  <si>
    <t>Collected Spanish Land Files, 1854 - 1925</t>
  </si>
  <si>
    <t>Petitions for Naturalization, Ohio (Western (Toledo) Division of the Northern District), 1909 - 1991</t>
  </si>
  <si>
    <t>Military Petitions for Naturalization, Iowa (Western (Sioux City) Division of the Northern District), 1943 - 1955</t>
  </si>
  <si>
    <t>Petitions for Naturalization, Ohio (Western (Toledo) Division of the Northern District), 1875 - 1900</t>
  </si>
  <si>
    <t>Petitions for Naturalization, New York (Northern District), 1821 - 1906</t>
  </si>
  <si>
    <t>Applications to Take Oath of Allegiance, Ohio (Western (Toledo) Division of the Northern District), 1937 - 1968</t>
  </si>
  <si>
    <t>Naturalization Orders, Ohio (Western (Toledo) Division of the Northern District), 1926 - 1992</t>
  </si>
  <si>
    <t>Naturalization Journals, Ohio (Western (Toledo) Division of the Northern District), 1926 - 1956</t>
  </si>
  <si>
    <t>Military Petitions for Naturalization, Ohio (Western (Toledo) Division of the Northern District), 1918 - 1918</t>
  </si>
  <si>
    <t>Index to Petitions for Naturalization, Ohio (Western (Toledo) Division of the Northern District), 1930 - 1940</t>
  </si>
  <si>
    <t>Petitions for Naturalization Transferred from Other Courts, Iowa (Western (Sioux City) Division of the Northern District), 1954 - 1975</t>
  </si>
  <si>
    <t>Petitions for Naturalization Transferred from Other Courts, Iowa (Eastern Division of the Northern District, Waterloo Term), 1954 - 1959</t>
  </si>
  <si>
    <t>Declarations of Intention for Citizenship, Mississippi (Eastern (Aberdeen) Division of the Northern District), 1911 - 1952</t>
  </si>
  <si>
    <t>Declarations of Intention for Citizenship, Mississippi (Hattiesburg Division of the Southern District), 1937 - 1956</t>
  </si>
  <si>
    <t>Petitions for Naturalization, Mississippi (Hattiesburg Division of the Southern District), 1937 - 1951</t>
  </si>
  <si>
    <t>Homestead Final Certificates, Alaska (Juneau Land Office), ca. 1902 - ca. 1923</t>
  </si>
  <si>
    <t>Homestead Final Certificates, Alaska (Nome Land Office), ca. 1907 - 1946</t>
  </si>
  <si>
    <t>Homestead Final Certificates, Alaska (Sitka Land Office), ca. 1885 - ca. 1902</t>
  </si>
  <si>
    <t>Naturalization Certificate Stubs, Mississippi (Hattiesburg Division of the Southern District), 1937 - 1951</t>
  </si>
  <si>
    <t>Naturalization Certificate Stubs, Mississippi (Western (Oxford) Division of the Northern District), 1927 - 1991</t>
  </si>
  <si>
    <t>Declarations of Intention for Citizenship, Mississippi (Western (Oxford) Division of the Northern District), 1910 - 1979</t>
  </si>
  <si>
    <t>Naturalization Orders, Mississippi (Western (Oxford) Division of the Northern District ), 1931 - 1991</t>
  </si>
  <si>
    <t>U.S. Fish and Wildlife Service</t>
  </si>
  <si>
    <t>Homestead Final Certificates, Arizona (Prescott Land Office), 1871 - 1905</t>
  </si>
  <si>
    <t>Overseas Military Naturalization Petitions, Iowa (Eastern (Dubuque) Division of the Northern District), 1943 - 1954</t>
  </si>
  <si>
    <t>Naturalization Index, Iowa (Central (Fort Dodge) Division of the Northern District), 1909 - 1948</t>
  </si>
  <si>
    <t>District of Columbia City Council Legislative Log and Lists of Activities, 1967 - 1974</t>
  </si>
  <si>
    <t>Council of the District of Columbia</t>
  </si>
  <si>
    <t>Identification Card Files of Prohibition Agents, 1920-1925</t>
  </si>
  <si>
    <t>Examination Reports on Attorney Applications for Admission to Practice before the Federal Courts, Indiana (Indianapolis Term), 1877? - 1898?</t>
  </si>
  <si>
    <t>Lists of Naturalization Petitions Granted, Continued, or Denied, Nebraska (Grand Island Division), 1931 - 1951</t>
  </si>
  <si>
    <t>Records Relating to Crew Lists (Bridgeport, Connecticut), 1825 - 1932</t>
  </si>
  <si>
    <t>Records Relating to Seamen (Bridgeport, Connecticute), 1869 - 1936</t>
  </si>
  <si>
    <t>Records Relating to Pilgrimages of Gold Star Mothers and Widows, 1930 - 1933</t>
  </si>
  <si>
    <t>Naturalization Records, Florida (Jacksonville Term), 1937 - 1974</t>
  </si>
  <si>
    <t>Naturalization Records, Florida (Marianna Term), 1932 - 1959</t>
  </si>
  <si>
    <t>Records Relating to Naturalization Extraditions, Florida (Key West Term), 1883 - 1900</t>
  </si>
  <si>
    <t>Dockets in Naturalization Suits in Equity, New York (Southern District), 1909 - 1917</t>
  </si>
  <si>
    <t>Repatriation Oaths of Allegiance, Iowa (Ottumwa Division of the Southern District), 1938 - 1951</t>
  </si>
  <si>
    <t>Homestead Final Certificates, Arizona (Phoenix Land Office), 1905 - 1908</t>
  </si>
  <si>
    <t>Homestead Final Certificates, Arizona (Florence-Tucson Land Office), 1875-1905</t>
  </si>
  <si>
    <t>Military Petitions for Naturalization, South Carolina (Charleston Term of the Eastern District), 1918 - 1924</t>
  </si>
  <si>
    <t>Naturalization Repatriations, Military Petitions, and Transfers, Florida (Pensacola Term), 1954 - 1967</t>
  </si>
  <si>
    <t>Incoming Naturalization Transfer Correspondence, Florida (Miami Term), 1953 - 1960</t>
  </si>
  <si>
    <t>U.S., Army Transport Service, Lists of Incoming Passengers, 1917-1938</t>
  </si>
  <si>
    <t>U.S., Army Transport Service, Lists of Outgoing Passengers, 1917-1938</t>
  </si>
  <si>
    <t>Petitions and Records of Naturalization, Maine (Southern Division), 1945 - 1991</t>
  </si>
  <si>
    <t>Women's Repatriation Oaths of Allegiance, Maine (Southern Division), 1937 - 1967</t>
  </si>
  <si>
    <t>Index to Overseas Military Petitions, Maine (Southern Division), 1943 - 1955</t>
  </si>
  <si>
    <t>Declarations of Intention, Maine (Northern Division), 1942 - 1943</t>
  </si>
  <si>
    <t>Petitions and Records of Naturalization, Maine (Northern Division), 1942 - 1989</t>
  </si>
  <si>
    <t>Certificates of Naturalization Issued Abroad, Nebraska (Omaha Division), 1943 - 1945</t>
  </si>
  <si>
    <t>Military and Overseas Petitions for Naturalization, Nebraska (Omaha Division), 1918 - 1955</t>
  </si>
  <si>
    <t>Naturalization Certificate Records, Nebraska (Omaha Division), 1948 - 1960</t>
  </si>
  <si>
    <t>Recommendations on Naturalization Petitions and Court Orders, Missouri (Northern (St. Joseph) Division of the Western District), 1927 - 1976</t>
  </si>
  <si>
    <t>Petitions for Naturalization, North Dakota (Northeastern (Grand Forks) Division), 1894 - 1894</t>
  </si>
  <si>
    <t>Petitions for Naturalization, North Dakota (Northwestern (Devils Lake) Division), 1892 - 1901</t>
  </si>
  <si>
    <t>Petitions for Naturalization, Missouri (Southern (Springfield) Division of the Western District), 1911 - 1983</t>
  </si>
  <si>
    <t>Overseas Military Naturalization Petitions, Missouri (Southern (Springfield) Division of the Western District), 1944 - 1954</t>
  </si>
  <si>
    <t>Applications for Photo-Metal Check, 07/1918 - 07/1919</t>
  </si>
  <si>
    <t>Subject Files, 1941 - 1954</t>
  </si>
  <si>
    <t>Air Force Medical Service History Office</t>
  </si>
  <si>
    <t>Montana Naturalization Records (Helena Term), 1889 - 1999</t>
  </si>
  <si>
    <t>Records Relating to Seamen (Salem and Beverly, Massachusetts), 1789 - 1907</t>
  </si>
  <si>
    <t>Stubs of Naturalization Certificates, Louisiana (Alexandria Division of the Western District), 1918 - 1928</t>
  </si>
  <si>
    <t>Naturalization Certificate Stubs, Missouri (Eastern (St. Louis) Division of the Eastern District), 1907 - 1926</t>
  </si>
  <si>
    <t>Index to Affidavits of Seamen's Citizenship (Massachusetts), ca. 1935 - ca. 1939</t>
  </si>
  <si>
    <t>Index to Petitions for Naturalization, Michigan (Southern (Grand Rapids) Division of the Western District), 1926 - 1992</t>
  </si>
  <si>
    <t>Naturalization Index, 1930 - 1988. U.S. District Court for the Third (St. Paul) Division of the District of Minnesota.</t>
  </si>
  <si>
    <t>Naturalization Index, 1848 - 1990. U.S. District Court for the Eastern District of Wisconsin. Milwaukee Term</t>
  </si>
  <si>
    <t>Logs of Company Ships, 1850 - 1867</t>
  </si>
  <si>
    <t>Sailing Lists of Contract Laborers, 1905 - 1910</t>
  </si>
  <si>
    <t>Requests for Metal Check Issue Cards, 1930 - 1937</t>
  </si>
  <si>
    <t>Petitions for Naturalization, 1848 - 1991. U.S. District Court for the Eastern District of Wisconsin. Milwaukee Term</t>
  </si>
  <si>
    <t>Naturalization Index, South Dakota (Southern (Sioux Falls) Division), ca. 1861 - 1963</t>
  </si>
  <si>
    <t>Petitions for Naturalization, Indiana (Indianapolis Term), 1895 - 1906</t>
  </si>
  <si>
    <t>Index to Minutes of Meetings, 1935 - 1965 (Federal Reserve Board of Governors)</t>
  </si>
  <si>
    <t>Federal Reserve Board of Governors</t>
  </si>
  <si>
    <t>Minutes of Meetings, 1935 - 1966 (Federal Reserve Board of Governors)</t>
  </si>
  <si>
    <t>Central Subject Files, 1913 - 1954</t>
  </si>
  <si>
    <t>Headstone Inscription and Interment Records for U.S. Military Cemeteries on Foreign Soil, 1942 - 1949</t>
  </si>
  <si>
    <t>Homestead Final Certificates, Illinois (Springfield Land Office), 1863 - 1876</t>
  </si>
  <si>
    <t>Homestead Final Certificates, Nevada (Carson City Land Office), 1864 - 1908</t>
  </si>
  <si>
    <t>Homestead Final Certificates, Nevada (Elko Land Office), 1872 - 1877</t>
  </si>
  <si>
    <t>Homestead Final Certificates, Nevada (Austin-Eureka Land Office), 1868 - 1893</t>
  </si>
  <si>
    <t>Homestead Final Certificates, Utah (Beaver City Land Office), 1876 - 1877</t>
  </si>
  <si>
    <t>Homestead Final Certificates, Utah (Salt Lake City Land Office), 1869 - 1908</t>
  </si>
  <si>
    <t>Homestead Final Certificates, Utah (Vernal Land Office), 1905 - 1908</t>
  </si>
  <si>
    <t>Homestead Final Certificates, Wyoming (Buffalo Land Office), 1888 - 1946</t>
  </si>
  <si>
    <t>Homestead Final Certificates, Wyoming (Cheyenne Land Office), 1871 - 1908</t>
  </si>
  <si>
    <t>Homestead Final Certificates, Wyoming (Douglas Land Office), 1890 - 1925</t>
  </si>
  <si>
    <t>Homestead Final Certificates, Wyoming (Evanston Land Office), 1878 - 1908</t>
  </si>
  <si>
    <t>Homestead Final Certificates, Wyoming (Lander Land Office), 1890 - 1927</t>
  </si>
  <si>
    <t>Homestead Final Certificates, Wyoming (Sundance Land Office), 1890 - 1920</t>
  </si>
  <si>
    <t>Petitions for Naturalization by Members of Armed Forces, Indiana (Indianapolis Term), 1918 - 1919</t>
  </si>
  <si>
    <t>U.S., Merchant Marine Applications for License of Officers, 1914-1949</t>
  </si>
  <si>
    <t>Draft Registration Cards for Alabama, 1940-1947</t>
  </si>
  <si>
    <t>Fourth Registration Draft Cards, 1942 (Arizona)</t>
  </si>
  <si>
    <t>Draft Registration Cards for California, 1940-1947</t>
  </si>
  <si>
    <t>Draft Registration Cards for Connecticut, 1940-1947</t>
  </si>
  <si>
    <t>Draft Registration Cards for Florida, 1940-1947</t>
  </si>
  <si>
    <t>Draft Registration Cards for Hawaii, 1940-1947</t>
  </si>
  <si>
    <t>Draft Registration Cards for Illinois, 1940-1947</t>
  </si>
  <si>
    <t>Draft Registration Cards for Indiana, 1940-1947</t>
  </si>
  <si>
    <t>Draft Registration Cards for Iowa, 1940-1947</t>
  </si>
  <si>
    <t>Draft Registration Cards for Kansas, 1940-1947</t>
  </si>
  <si>
    <t>Draft Registration Cards for Kentucky, 1940-1947</t>
  </si>
  <si>
    <t>Fourth Registration Draft Cards, 1942 (Kentucky)</t>
  </si>
  <si>
    <t>Draft Registration Cards for Massachusetts, 1940-1947</t>
  </si>
  <si>
    <t>Draft Registration Cards for Michigan, 1940-1947</t>
  </si>
  <si>
    <t>Draft Registration Cards for Minnesota, 1940-1947</t>
  </si>
  <si>
    <t>Draft Registration Cards for Mississippi, 1940-1947</t>
  </si>
  <si>
    <t>Draft Registration Cards for Missouri, 1940-1947</t>
  </si>
  <si>
    <t>Draft Registration Cards for Nebraska, 1940-1947</t>
  </si>
  <si>
    <t>Draft Registration Cards for Nevada, 1940-1947</t>
  </si>
  <si>
    <t>Fourth Registration Draft Cards, 1942 (Nevada)</t>
  </si>
  <si>
    <t>Draft Registration Cards for New Hampshire, 1940-1947</t>
  </si>
  <si>
    <t>Draft Registration Cards for New Jersey, 1940-1947</t>
  </si>
  <si>
    <t>Draft Registration Cards for New York City, 1940-1947</t>
  </si>
  <si>
    <t>Draft Registration Cards for New York State, 1940-1947</t>
  </si>
  <si>
    <t>Fourth Registration Draft Cards, 1942 (New York State)</t>
  </si>
  <si>
    <t>Draft Registration Cards for North Dakota, 1940-1947</t>
  </si>
  <si>
    <t>Draft Registration Cards for Ohio, 1940-1947</t>
  </si>
  <si>
    <t>Draft Registration Cards for Puerto Rico, 1940-1947</t>
  </si>
  <si>
    <t>Draft Registration Cards for Rhode Island, 1940-1947</t>
  </si>
  <si>
    <t>Draft Registration Cards for South Carolina, 1940-1947</t>
  </si>
  <si>
    <t>Draft Registration Cards for South Dakota, 1940-1947</t>
  </si>
  <si>
    <t>Draft Registration Cards for Tennessee, 1940-1947</t>
  </si>
  <si>
    <t>Draft Registration Cards for Vermont, 1940-1947</t>
  </si>
  <si>
    <t>Draft Registration Cards for Virgin Islands, 1942-1942</t>
  </si>
  <si>
    <t>Draft Registration Cards for Wisconsin, 1940-1947</t>
  </si>
  <si>
    <t>Homestead Final Certificates, Nebraska (Alliance Land Office), 1890 - 1908</t>
  </si>
  <si>
    <t>Homestead Final Certificates, Nebraska (Beatrice and Brownsville Land Offices), 1863 - 1887</t>
  </si>
  <si>
    <t>Homestead Final Certificates, Nebraska (Bloomington and Lowell Land Offices), 1872 - 1893</t>
  </si>
  <si>
    <t>Homestead Final Certificates, Nebraska (Grand Island), 1869 - 1893</t>
  </si>
  <si>
    <t>Homestead Final Certificates, Nebraska (Lincoln and Nebraska City Land Offices), 1863 - 1908</t>
  </si>
  <si>
    <t>Homestead Final Certificates, Nebraska (McCook Land Office), 1883 - 1905</t>
  </si>
  <si>
    <t>Homestead Final Certificates, Nebraska (Neligh, Omaha, West Point, and Norfolk Land Offices), 1863 - 1894</t>
  </si>
  <si>
    <t>Homestead Final Certificates, Nebraska (North Platte Land Office), 1872 - 1908</t>
  </si>
  <si>
    <t>Homestead Final Certificates, Ponca Indian Reservation, Nebraska (O'Neill Land Office), 1891 - 1905</t>
  </si>
  <si>
    <t>Homestead Final Certificates, Nebraska (Sidney Land Office), 1887 - 1906</t>
  </si>
  <si>
    <t>Homestead Final Certificates, Nebraska (Valentine Land Office), 1883 - 1908</t>
  </si>
  <si>
    <t>Depositions for Petitions for Naturalization Transferred From Other Courts, California (Southern District), 1955 - 1980</t>
  </si>
  <si>
    <t>Overseas Military Naturalization Petitions, California (Southern District), 1953 - ca. 1956</t>
  </si>
  <si>
    <t>Naturalization Index, 1930 - 1988. U.S. District Court for the Fourth (Minneapolis) Division of the District of Minnesota.</t>
  </si>
  <si>
    <t>District of Columbia City Council Resolutions and Regulations, 1967 - 1974</t>
  </si>
  <si>
    <t>Bankruptcy Act of 1898 Case Files (U.S. District Court for the Greenville Division of the District of South Carolina)</t>
  </si>
  <si>
    <t>Naturalization Hearing Dockets, Michigan (Southern (Detroit) Division of the Eastern District), 1912 - 1920</t>
  </si>
  <si>
    <t>Naturalization Certificate Stubs, Michigan (Southern (Detroit) Division of the Eastern District), 1907 - 1991</t>
  </si>
  <si>
    <t>Naturalization Depositions, Michigan (Southern (Detroit) Division of the Eastern District), 1909 - 1980</t>
  </si>
  <si>
    <t>Naturalization Court Order Books, Michigan (Southern (Detroit) Division of the Eastern District), 1926 - 1999</t>
  </si>
  <si>
    <t>Declarations of Intention, Alaska (U.S. District Court for the Fairbanks Division), 1960 - 1973</t>
  </si>
  <si>
    <t>Declarations of Intention, Alaska (U.S. District Court for the Ketchikan Division), 1960 - 1972</t>
  </si>
  <si>
    <t>Declarations of Intention, Alaska (U.S. Territorial Court for the Third (Valdez) Division, Seward Term), 1911 - 1940</t>
  </si>
  <si>
    <t>Petitions for Naturalization Filed in Ketchikan, Alaska (U.S. District Court for the Juneau Division), 1960 - 1988</t>
  </si>
  <si>
    <t>Petitions for Naturalization Filed in Kodiak, Alaska (U.S. Territorial Court for the Third (Valdez) Division, Cordova Term), 1931 - 1960</t>
  </si>
  <si>
    <t>Declarations of Intention Filed in Wiseman, Alaska (U.S. Territorial Court for the Fourth (Fairbanks) Division), 1927 - 1927</t>
  </si>
  <si>
    <t>Petitions for Naturalization, Alaska (U.S. District Court for the Fairbanks Division), 1960 - 1991</t>
  </si>
  <si>
    <t>Naturalization Depositions, Alaska (U.S. District Court for the Fairbanks Division), 1960 - 1968</t>
  </si>
  <si>
    <t>Naturalization Depositions, Indiana (Indianapolis Division of the Southern District), 1926 - 1955</t>
  </si>
  <si>
    <t>Quarterly Abstracts of Collections of Naturalization Fees, Indiana (Indianapolis Term), 1916 - 1922</t>
  </si>
  <si>
    <t>Facts for Petitions for Naturalizations, Indiana (Indianapolis Term), 1909 - 1923</t>
  </si>
  <si>
    <t>Naturalization Record Book, Indiana (Indianapolis Term), 1903 - 1906</t>
  </si>
  <si>
    <t>The National Archives at New York - New York Petions for Naturalizations, 1793-1906</t>
  </si>
  <si>
    <t>Naturalization Petition and Record Books, Illinois (Central (Peoria) District), 1887-1954</t>
  </si>
  <si>
    <t>Naturalization Application Papers Files, Michigan (Southern (Detroit) Division of the Eastern District), 1837–1860</t>
  </si>
  <si>
    <t>Military Petitions for Naturalization, New York (Eastern District), 1918 - 1920</t>
  </si>
  <si>
    <t>Index to Naturalization Orders, Michigan (Southern (Grand Rapids) Division of the Western District), 1866-1962</t>
  </si>
  <si>
    <t>Naturalization Depositions, Indiana (Hammond Division of the Northern District), 1932 - 1945</t>
  </si>
  <si>
    <t>Naturalization Certificate Stubs, Indiana (Hammond Term), 1909 - 1916</t>
  </si>
  <si>
    <t>Designations of Examiners, Indiana (Hammond Division of the Northern District), 1932 - 1932</t>
  </si>
  <si>
    <t>Veterans Administration Master Index, , 1917-1940</t>
  </si>
  <si>
    <t>Draft Registration Cards for Georgia, 1940 - 1945</t>
  </si>
  <si>
    <t>Fourth Registration Draft Cards, 1942 (Massachusetts)</t>
  </si>
  <si>
    <t>Fourth Registration Draft Cards, 1942 (Hawaii)</t>
  </si>
  <si>
    <t>Naturalization Journals, Ohio (Western (Cincinnati) Division of the Southern District), 1852 - 1905</t>
  </si>
  <si>
    <t>Naturalization Certificate Stubs, Ohio (U.S. District Court for the Western (Cincinnati) Division of the Southern District), 1907 - 1926</t>
  </si>
  <si>
    <t>Naturalization Journals, Ohio (Eastern (Cleveland) Division of the Northern District), 1855 - 1902</t>
  </si>
  <si>
    <t>Declarations of Intention by Minors, Ohio (Eastern (Cleveland) Division of the Northern District), 1856 - 1902</t>
  </si>
  <si>
    <t>Index to Naturalization Journals, Ohio (Eastern (Cleveland) Division of the Northern District), 1855 - 1903</t>
  </si>
  <si>
    <t>Depositions for Naturalization, Ohio (Western (Cincinnati) Division of the Southern District), 1909 - 1929</t>
  </si>
  <si>
    <t>Naturalization Order Books, Ohio (Western (Cincinnati) Division of the Southern District), 1926 - 1961</t>
  </si>
  <si>
    <t>Declarations of Intention, Ohio (Eastern (Cleveland) Division of the Northern District), 1906 - 1943</t>
  </si>
  <si>
    <t>Index to Declarations of Intentions and Petitions for Naturalization, Ohio (Eastern (Cleveland) Division of the Northern District), 1907 - 1922</t>
  </si>
  <si>
    <t>Certificate of Naturalization Stubs, Ohio (U.S. District Court for the Eastern (Cleveland) Division of the Northern District), 1907 - 1925</t>
  </si>
  <si>
    <t>Naturalization Order Books, Ohio (Eastern (Columbus) Division of the Southern District), 1927 - 1935</t>
  </si>
  <si>
    <t>Repatriation Records, Ohio (Eastern (Columbus) Division of the Southern District), 1941-1942</t>
  </si>
  <si>
    <t>Naturalization Depositions, Ohio (Eastern (Cleveland) Division of the Northern District), 1922 - 1982</t>
  </si>
  <si>
    <t>Insular Passport Applications, compiled 1901 - 1911</t>
  </si>
  <si>
    <t>Petitions for Naturalization, New York (Southern District), 1846 - 1911</t>
  </si>
  <si>
    <t>4522202, 1274123</t>
  </si>
  <si>
    <t>Petitions for Naturalization, Alabama (Montgomery), 1912 - 1960</t>
  </si>
  <si>
    <t>Land Allotments for Five Civilized Tribes</t>
  </si>
  <si>
    <t>Alphabetical Index of Former Inmates of U.S. Penitentiary, Alcatraz, 1934-63</t>
  </si>
  <si>
    <t>Multiple</t>
  </si>
  <si>
    <t>Oklahoma Territory Indian Records</t>
  </si>
  <si>
    <t>U.S. Army, U.S. Forces, European Theater, Historical Division: Records, 1941-1946</t>
  </si>
  <si>
    <t>4688038, 305392, 4719597, 4726287</t>
  </si>
  <si>
    <t>Vietnam Service Awards</t>
  </si>
  <si>
    <t>War Casualties from World War II for Navy, Marine Corps, and Coast Guard Personnel, 1946</t>
  </si>
  <si>
    <t>Various</t>
  </si>
  <si>
    <t>American Milestone Documents</t>
  </si>
  <si>
    <t>Newsletters, 1921 - 1937</t>
  </si>
  <si>
    <t>Federal Reserve Bank of St. Louis</t>
  </si>
  <si>
    <t>Minutes of a Conference Held by the War Labor Policies Board with State Officials Responsible for Enforcement of State Labor Laws, 1918 - 1918</t>
  </si>
  <si>
    <t>Minutes of Meetings of the War Labor Policies Board, 1918 - 1919</t>
  </si>
  <si>
    <t>Correspondence of Mary Van Kleeck with Members of the War Labor Policies Board, 1918 - 1918</t>
  </si>
  <si>
    <t>Correspondence of the Director, 1918 - 1920</t>
  </si>
  <si>
    <t>Records Relating to Women in World War I, 1918 - 1919</t>
  </si>
  <si>
    <t>German Flown Aerial Photographs, 1939-1945</t>
  </si>
  <si>
    <t>Logbooks of U.S. Navy Ships and Stations, 1941-1983</t>
  </si>
  <si>
    <t>Vetarans Benefits Administration</t>
  </si>
  <si>
    <t>Logbooks of Ships and Shore Installations, 1948-1972</t>
  </si>
  <si>
    <t>Petitions for Naturalization, Alaska (Territorial Court, Cordova), 1910-1960</t>
  </si>
  <si>
    <t>Petitions for Naturalization, Alaska (Territorial Court, Eagle), 1904-1929</t>
  </si>
  <si>
    <t>Petitions for Naturalization, Alaska (U.S. Territorial Court, Bethel), 1927-1932</t>
  </si>
  <si>
    <t>Original Records (AAD)</t>
  </si>
  <si>
    <t>Records on Military Personnel Who Died, Were Missing in Action or Prisoners of War as a Result of the Vietnam War, June 8, 1956 - January 21, 1998</t>
  </si>
  <si>
    <t>Not available (Data available, but no images)</t>
  </si>
  <si>
    <t>Germans to America Passenger Data File, 1850 - 1897</t>
  </si>
  <si>
    <t>CIR</t>
  </si>
  <si>
    <t>Italians to America Passenger Data File, 1855 - 1900</t>
  </si>
  <si>
    <t>Russians to America Passenger Data File, 1834 - 1897</t>
  </si>
  <si>
    <t>Records for Passengers who Arrived at the Port of New York during the Irish Famine, 1846-1851</t>
  </si>
  <si>
    <t>Index to the Gorgas Hospital Mortuary Death Records, 1906 - 1991</t>
  </si>
  <si>
    <t>Korean Conflict Casualty File, 1/1/1950 - 2/7/1957</t>
  </si>
  <si>
    <t>U.S., Vietnam War Military Casualties, 1956-2003</t>
  </si>
  <si>
    <t>COFF</t>
  </si>
  <si>
    <t>Records about Japanese Americans Relocated During World War II, 1988 - 1989</t>
  </si>
  <si>
    <t>Records of American Prisoners of War During the Korean War, 1950 - 1953</t>
  </si>
  <si>
    <t>Records on Korean War Dead and Wounded Army Casualties, February 13, 1950 - December 31, 1953</t>
  </si>
  <si>
    <t>Records of Repatriated Korean War Prisoners of War, July 5, 1950 - October 6, 1954</t>
  </si>
  <si>
    <t>World War II Army Enlistment Records, ca. 1938 - 1946</t>
  </si>
  <si>
    <t>National Register of Scientific and Technical Personnel Files, 1954 - 1970</t>
  </si>
  <si>
    <t>Records of Deceased, Wounded, Ill, or Injured Army Personnel, Including Dependents and Civilian Employees, January 1, 1961 - December 1981</t>
  </si>
  <si>
    <t>World War II Prisoners of the Japanese Data Files, ca. 1941 - ca. 1945</t>
  </si>
  <si>
    <t>ADBC</t>
  </si>
  <si>
    <t>P2012</t>
  </si>
  <si>
    <t>13th Naval District Public Information Department Press Clippings, 1942-1960.</t>
  </si>
  <si>
    <t>P2233</t>
  </si>
  <si>
    <t>U.S. District Court at New Orleans, Naturalization Petitions, 1838-1861</t>
  </si>
  <si>
    <t>P2293</t>
  </si>
  <si>
    <t>Citizenship Case Files of the U.S. Court in Indian Territory, 1896-1897.</t>
  </si>
  <si>
    <t>T0252</t>
  </si>
  <si>
    <t>T0289</t>
  </si>
  <si>
    <t>Organization Index to Pension Files of Veterans Who Served Between 1861 and 1900, 1861-1900</t>
  </si>
  <si>
    <t>581208 </t>
  </si>
  <si>
    <t>T0297</t>
  </si>
  <si>
    <t>T0508</t>
  </si>
  <si>
    <t>T0529</t>
  </si>
  <si>
    <t>Final Rolls of Citizens and Freedmen of the Five Civilized Tribes in Indian Territory (as Approved by the Secretary of the Interior on or Before Mar. 4, 1907, With Supplements Dated Sept. 25, 1914).</t>
  </si>
  <si>
    <t>T0612</t>
  </si>
  <si>
    <t>Book Indexes, New York Passenger Lists, 1906-1942</t>
  </si>
  <si>
    <t>2790937, 2353585</t>
  </si>
  <si>
    <t>T0623</t>
  </si>
  <si>
    <t>Twelfth Census of the United States, 1900</t>
  </si>
  <si>
    <t>2790937, 2353588, 2791148</t>
  </si>
  <si>
    <t>T0624</t>
  </si>
  <si>
    <t>Thirteenth Census of the United States, 1910</t>
  </si>
  <si>
    <t>2790937, 2353589, 638859</t>
  </si>
  <si>
    <t>T0625</t>
  </si>
  <si>
    <t>Fourteenth Census of the United States, 1920</t>
  </si>
  <si>
    <t>598030, 2790937</t>
  </si>
  <si>
    <t>T0626</t>
  </si>
  <si>
    <t>Fifteenth Census of the United States, 1930</t>
  </si>
  <si>
    <t>T0627</t>
  </si>
  <si>
    <t>Sixteenth Census of the United States, 1940</t>
  </si>
  <si>
    <t>581208, 1799568, 1786935 </t>
  </si>
  <si>
    <t>T0829</t>
  </si>
  <si>
    <t>Miscellaneous Records of the Office of Naval Records and Library.</t>
  </si>
  <si>
    <t>T0910</t>
  </si>
  <si>
    <t>California, Private Land Claim Dockets, 1852-1858</t>
  </si>
  <si>
    <t>T0938</t>
  </si>
  <si>
    <t>Boston, Massachusetts. Passenger Lists of Vessels Arriving at Boston, Massachusetts</t>
  </si>
  <si>
    <t>T0939</t>
  </si>
  <si>
    <t>Crew lists of Vessels Arriving at New Orleans, LA, 1910-1945.</t>
  </si>
  <si>
    <t>T0940</t>
  </si>
  <si>
    <t>Passenger Lists of Vessels Arriving at Key West, Florida, 1898-1945</t>
  </si>
  <si>
    <t>T0941</t>
  </si>
  <si>
    <t>Crew Lists of Vessels Arriving at Gloucester, Massachusetts, 1918-1943.</t>
  </si>
  <si>
    <t>T0944</t>
  </si>
  <si>
    <t>Passenger Lists of Vessels Arriving at New Bedford, Massachusetts, 1902-1942.</t>
  </si>
  <si>
    <t>T0977</t>
  </si>
  <si>
    <t>T0990</t>
  </si>
  <si>
    <t>Mauthausen Death Books, 1939-1945 (Holocaust)</t>
  </si>
  <si>
    <t>T1021</t>
  </si>
  <si>
    <t>German Documents Among the War Crimes Records of the Judge Advocate Division, Headquarters, U.S. Army Europe (Holocaust)</t>
  </si>
  <si>
    <t xml:space="preserve">T1087 </t>
  </si>
  <si>
    <t>T1088</t>
  </si>
  <si>
    <t>T1089</t>
  </si>
  <si>
    <t xml:space="preserve">T1090 </t>
  </si>
  <si>
    <t>T1091</t>
  </si>
  <si>
    <t>T1092</t>
  </si>
  <si>
    <t xml:space="preserve">T1093 </t>
  </si>
  <si>
    <t>Log Books of the U.S.S. Southhampton, 1852-1855.</t>
  </si>
  <si>
    <t>T1094</t>
  </si>
  <si>
    <t>T1095</t>
  </si>
  <si>
    <t>T1096</t>
  </si>
  <si>
    <t>T1103</t>
  </si>
  <si>
    <t>General Court Martial of Gen. George A. Custer, 1867</t>
  </si>
  <si>
    <t>T1121</t>
  </si>
  <si>
    <t>Registro Central de Esclavos, (Slave Schedules)1872</t>
  </si>
  <si>
    <t>T1132</t>
  </si>
  <si>
    <t>Non-population Census Schedules for Virginia, 1850-1880.</t>
  </si>
  <si>
    <t>T1133</t>
  </si>
  <si>
    <t>Non-population Census Schedules for Illinois, 1850-1880.</t>
  </si>
  <si>
    <t>T1135</t>
  </si>
  <si>
    <t>Nonpopulation Census Schedules for Tennessee, 1850-1880</t>
  </si>
  <si>
    <t>T1137</t>
  </si>
  <si>
    <t>Nonpopulation Census Schedules for Georgia 1850-1880: Supplemental Schedules of Defective, Dependent, and Delinquent Classes, 1880</t>
  </si>
  <si>
    <t>T1156</t>
  </si>
  <si>
    <t>Non-population Census Schedules for Iowa, 1850-1880.</t>
  </si>
  <si>
    <t>T1159</t>
  </si>
  <si>
    <t>Non-population Census Schedules for Ohio, 1850-1880</t>
  </si>
  <si>
    <t>T1164</t>
  </si>
  <si>
    <t>Non-population Census Schedules for Michigan, 1850-1880 (in the custody of the Michigan State Archives), 1850-1880.</t>
  </si>
  <si>
    <t>T1196</t>
  </si>
  <si>
    <t>Selected Pension Application Files Relating to the Mormon Battalion, Mexican War, 1846-1848</t>
  </si>
  <si>
    <t>T1206</t>
  </si>
  <si>
    <t>Project Blue Book, 1947-1969</t>
  </si>
  <si>
    <t>3794022, 3785972</t>
  </si>
  <si>
    <t>T1219</t>
  </si>
  <si>
    <t>State Department Transcripts of Passenger Lists, ca. October 1819-ca.</t>
  </si>
  <si>
    <t>T1234</t>
  </si>
  <si>
    <t>Public Land Survey Township Plats, compiled 1789 - 1946, documenting the period 1785 - 1946</t>
  </si>
  <si>
    <t>T1249</t>
  </si>
  <si>
    <t>Records of the Department of State Relating to Internal Affairs of the Soviet Union, 1930-1939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</si>
</sst>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1">
    <font>
      <sz val="10"/>
      <color rgb="FF000000"/>
      <name val="Arial"/>
      <scheme val="minor"/>
    </font>
    <font>
      <b/>
      <sz val="12"/>
      <color rgb="FF000000"/>
      <name val="Calibri"/>
    </font>
    <font>
      <b/>
      <sz val="12"/>
      <color theme="1"/>
      <name val="Calibri"/>
    </font>
    <font>
      <b/>
      <sz val="12"/>
      <color rgb="FF555555"/>
      <name val="Calibri"/>
    </font>
    <font>
      <b/>
      <sz val="11"/>
      <color rgb="FF555555"/>
      <name val="Arial"/>
    </font>
    <font>
      <sz val="12"/>
      <color theme="1"/>
      <name val="Calibri"/>
    </font>
    <font>
      <u/>
      <sz val="12"/>
      <color rgb="FF0000FF"/>
      <name val="Calibri"/>
    </font>
    <font>
      <sz val="9"/>
      <color rgb="FF000000"/>
      <name val="&quot;Google Sans&quot;"/>
    </font>
    <font>
      <u/>
      <sz val="12"/>
      <color rgb="FF0563C1"/>
      <name val="Calibri"/>
    </font>
    <font>
      <sz val="10"/>
      <color theme="1"/>
      <name val="Arial"/>
    </font>
    <font>
      <sz val="11"/>
      <color rgb="FF555555"/>
      <name val="Arial"/>
    </font>
    <font>
      <sz val="12"/>
      <color rgb="FF000000"/>
      <name val="Calibri"/>
    </font>
    <font>
      <u/>
      <sz val="12"/>
      <color rgb="FF1155CC"/>
      <name val="Calibri"/>
    </font>
    <font>
      <u/>
      <sz val="12"/>
      <color rgb="FF0563C1"/>
      <name val="Calibri"/>
    </font>
    <font>
      <u/>
      <sz val="11"/>
      <color rgb="FF1155CC"/>
      <name val="Arial"/>
    </font>
    <font>
      <u/>
      <sz val="12"/>
      <color rgb="FF0000FF"/>
      <name val="Calibri"/>
    </font>
    <font>
      <u/>
      <sz val="12"/>
      <color rgb="FF1155CC"/>
      <name val="Calibri"/>
    </font>
    <font>
      <u/>
      <sz val="12"/>
      <color rgb="FF1155CC"/>
      <name val="Calibri"/>
    </font>
    <font>
      <u/>
      <sz val="12"/>
      <color rgb="FF1155CC"/>
      <name val="Calibri"/>
    </font>
    <font>
      <u/>
      <sz val="12"/>
      <color rgb="FF1155CC"/>
      <name val="Calibri"/>
    </font>
    <font>
      <u/>
      <sz val="12"/>
      <color rgb="FF0563C1"/>
      <name val="Calibri"/>
    </font>
    <font>
      <u/>
      <sz val="12"/>
      <color rgb="FF0000FF"/>
      <name val="Calibri"/>
    </font>
    <font>
      <u/>
      <sz val="12"/>
      <color rgb="FF1155CC"/>
      <name val="Calibri"/>
    </font>
    <font>
      <sz val="12"/>
      <color rgb="FF333333"/>
      <name val="Calibri"/>
    </font>
    <font>
      <u/>
      <sz val="12"/>
      <color rgb="FF1155CC"/>
      <name val="Calibri"/>
    </font>
    <font>
      <u/>
      <sz val="10"/>
      <color rgb="FF1155CC"/>
      <name val="Arial"/>
    </font>
    <font>
      <u/>
      <sz val="12"/>
      <color rgb="FF0563C1"/>
      <name val="Calibri"/>
    </font>
    <font>
      <u/>
      <sz val="12"/>
      <color rgb="FF0563C1"/>
      <name val="Calibri"/>
    </font>
    <font>
      <u/>
      <sz val="12"/>
      <color rgb="FF0563C1"/>
      <name val="Calibri"/>
    </font>
    <font>
      <sz val="12"/>
      <color rgb="FF0563C1"/>
      <name val="Calibri"/>
    </font>
    <font>
      <u/>
      <sz val="11"/>
      <color rgb="FF0563C1"/>
      <name val="Arial"/>
    </font>
    <font>
      <u/>
      <sz val="11"/>
      <color rgb="FF1155CC"/>
      <name val="Arial"/>
    </font>
    <font>
      <u/>
      <sz val="12"/>
      <color rgb="FF1155CC"/>
      <name val="Calibri"/>
    </font>
    <font>
      <u/>
      <sz val="11"/>
      <color rgb="FF0563C1"/>
      <name val="Arial"/>
    </font>
    <font>
      <sz val="11"/>
      <color theme="1"/>
      <name val="Arial"/>
    </font>
    <font>
      <u/>
      <sz val="11"/>
      <color rgb="FF555555"/>
      <name val="Arial"/>
    </font>
    <font>
      <u/>
      <sz val="11"/>
      <color rgb="FF1155CC"/>
      <name val="Arial"/>
    </font>
    <font>
      <u/>
      <sz val="12"/>
      <color rgb="FF1155CC"/>
      <name val="Calibri"/>
    </font>
    <font>
      <u/>
      <sz val="12"/>
      <color rgb="FF0563C1"/>
      <name val="Calibri"/>
    </font>
    <font>
      <u/>
      <sz val="12"/>
      <color rgb="FF1155CC"/>
      <name val="Calibri"/>
    </font>
    <font>
      <u/>
      <sz val="12"/>
      <color rgb="FF0000FF"/>
      <name val="&quot;Source Sans Pro&quot;"/>
    </font>
    <font>
      <sz val="11"/>
      <color rgb="FF000000"/>
      <name val="Calibri"/>
    </font>
    <font>
      <u/>
      <sz val="10"/>
      <color rgb="FF1155CC"/>
      <name val="Arial"/>
    </font>
    <font>
      <sz val="12"/>
      <color rgb="FF1155CC"/>
      <name val="Calibri"/>
    </font>
    <font>
      <u/>
      <sz val="11"/>
      <color rgb="FF1155CC"/>
      <name val="Arial"/>
    </font>
    <font>
      <sz val="12"/>
      <color rgb="FF333333"/>
      <name val="&quot;Source Sans Pro&quot;"/>
    </font>
    <font>
      <sz val="11"/>
      <color rgb="FF000000"/>
      <name val="Arial"/>
    </font>
    <font>
      <sz val="12"/>
      <color rgb="FF555555"/>
      <name val="Calibri"/>
    </font>
    <font>
      <u/>
      <sz val="12"/>
      <color rgb="FF000000"/>
      <name val="Calibri"/>
    </font>
    <font>
      <u/>
      <sz val="12"/>
      <color rgb="FF1155CC"/>
      <name val="Calibri"/>
    </font>
    <font>
      <u/>
      <sz val="12"/>
      <color rgb="FF0000FF"/>
      <name val="Calibri"/>
    </font>
    <font>
      <u/>
      <sz val="12"/>
      <color rgb="FF0000FF"/>
      <name val="Calibri"/>
    </font>
    <font>
      <sz val="12"/>
      <color rgb="FF262626"/>
      <name val="Calibri"/>
    </font>
    <font>
      <u/>
      <sz val="12"/>
      <color rgb="FF0563C1"/>
      <name val="Calibri"/>
    </font>
    <font>
      <u/>
      <sz val="11"/>
      <color rgb="FF1155CC"/>
      <name val="Calibri"/>
    </font>
    <font>
      <u/>
      <sz val="12"/>
      <color rgb="FF0000FF"/>
      <name val="Calibri"/>
    </font>
    <font>
      <u/>
      <sz val="12"/>
      <color rgb="FF555555"/>
      <name val="Calibri"/>
    </font>
    <font>
      <sz val="12"/>
      <color rgb="FF3C4043"/>
      <name val="Calibri"/>
    </font>
    <font>
      <u/>
      <sz val="12"/>
      <color rgb="FF1155CC"/>
      <name val="Calibri"/>
    </font>
    <font>
      <u/>
      <sz val="12"/>
      <color rgb="FF1155CC"/>
      <name val="Calibri"/>
    </font>
    <font>
      <u/>
      <sz val="12"/>
      <color rgb="FF555555"/>
      <name val="Calibri"/>
    </font>
  </fonts>
  <fills count="6">
    <fill>
      <patternFill patternType="none"/>
    </fill>
    <fill>
      <patternFill patternType="gray125"/>
    </fill>
    <fill>
      <patternFill patternType="solid">
        <fgColor rgb="FFD9EAD3"/>
        <bgColor rgb="FFD9EAD3"/>
      </patternFill>
    </fill>
    <fill>
      <patternFill patternType="solid">
        <fgColor rgb="FFFFFF00"/>
        <bgColor rgb="FFFFFF00"/>
      </patternFill>
    </fill>
    <fill>
      <patternFill patternType="solid">
        <fgColor theme="0"/>
        <bgColor theme="0"/>
      </patternFill>
    </fill>
    <fill>
      <patternFill patternType="solid">
        <fgColor rgb="FFEBECF0"/>
        <bgColor rgb="FFEBECF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15">
    <xf numFmtId="0" fontId="0" fillId="0" borderId="0" xfId="0" applyFont="1" applyAlignment="1"/>
    <xf numFmtId="0" fontId="1" fillId="0" borderId="0" xfId="0" applyFont="1" applyAlignment="1">
      <alignment horizontal="center"/>
    </xf>
    <xf numFmtId="0" fontId="2" fillId="0" borderId="1" xfId="0" applyFont="1" applyBorder="1" applyAlignment="1">
      <alignment horizontal="center" wrapText="1"/>
    </xf>
    <xf numFmtId="0" fontId="3" fillId="0" borderId="1" xfId="0" applyFont="1" applyBorder="1" applyAlignment="1">
      <alignment horizontal="right" wrapText="1"/>
    </xf>
    <xf numFmtId="0" fontId="4" fillId="0" borderId="1" xfId="0" applyFont="1" applyBorder="1" applyAlignment="1">
      <alignment horizontal="center" wrapText="1"/>
    </xf>
    <xf numFmtId="0" fontId="3" fillId="0" borderId="1" xfId="0" applyFont="1" applyBorder="1" applyAlignment="1">
      <alignment horizontal="center"/>
    </xf>
    <xf numFmtId="0" fontId="1" fillId="0" borderId="1" xfId="0" applyFont="1" applyBorder="1" applyAlignment="1">
      <alignment horizontal="center" wrapText="1"/>
    </xf>
    <xf numFmtId="0" fontId="5" fillId="0" borderId="1" xfId="0" applyFont="1" applyBorder="1" applyAlignment="1">
      <alignment horizontal="center" wrapText="1"/>
    </xf>
    <xf numFmtId="0" fontId="5" fillId="0" borderId="1" xfId="0" applyFont="1" applyBorder="1" applyAlignment="1">
      <alignment horizontal="center"/>
    </xf>
    <xf numFmtId="0" fontId="6" fillId="2" borderId="1" xfId="0" applyFont="1" applyFill="1" applyBorder="1" applyAlignment="1">
      <alignment horizontal="right" wrapText="1"/>
    </xf>
    <xf numFmtId="0" fontId="7" fillId="0" borderId="0" xfId="0" applyFont="1" applyAlignment="1"/>
    <xf numFmtId="0" fontId="8" fillId="0" borderId="1" xfId="0" applyFont="1" applyBorder="1" applyAlignment="1">
      <alignment horizontal="center" wrapText="1"/>
    </xf>
    <xf numFmtId="0" fontId="9" fillId="0" borderId="1" xfId="0" applyFont="1" applyBorder="1" applyAlignment="1"/>
    <xf numFmtId="0" fontId="10" fillId="0" borderId="1" xfId="0" applyFont="1" applyBorder="1" applyAlignment="1">
      <alignment horizontal="center"/>
    </xf>
    <xf numFmtId="0" fontId="11" fillId="0" borderId="1" xfId="0" applyFont="1" applyBorder="1" applyAlignment="1">
      <alignment horizontal="center" wrapText="1"/>
    </xf>
    <xf numFmtId="0" fontId="5" fillId="0" borderId="1" xfId="0" applyFont="1" applyBorder="1" applyAlignment="1">
      <alignment horizontal="center" wrapText="1"/>
    </xf>
    <xf numFmtId="0" fontId="11" fillId="0" borderId="1" xfId="0" applyFont="1" applyBorder="1" applyAlignment="1">
      <alignment horizontal="right" wrapText="1"/>
    </xf>
    <xf numFmtId="0" fontId="12" fillId="0" borderId="1" xfId="0" applyFont="1" applyBorder="1" applyAlignment="1">
      <alignment horizontal="center" wrapText="1"/>
    </xf>
    <xf numFmtId="0" fontId="13" fillId="0" borderId="1" xfId="0" applyFont="1" applyBorder="1" applyAlignment="1">
      <alignment horizontal="center" wrapText="1"/>
    </xf>
    <xf numFmtId="0" fontId="14" fillId="0" borderId="1" xfId="0" applyFont="1" applyBorder="1" applyAlignment="1">
      <alignment horizontal="center" wrapText="1"/>
    </xf>
    <xf numFmtId="0" fontId="10" fillId="0" borderId="1" xfId="0" applyFont="1" applyBorder="1" applyAlignment="1">
      <alignment horizontal="center"/>
    </xf>
    <xf numFmtId="0" fontId="5" fillId="0" borderId="1" xfId="0" applyFont="1" applyBorder="1" applyAlignment="1">
      <alignment horizontal="center"/>
    </xf>
    <xf numFmtId="0" fontId="9" fillId="0" borderId="1" xfId="0" applyFont="1" applyBorder="1" applyAlignment="1"/>
    <xf numFmtId="0" fontId="11" fillId="0" borderId="1" xfId="0" applyFont="1" applyBorder="1" applyAlignment="1">
      <alignment horizontal="center" wrapText="1"/>
    </xf>
    <xf numFmtId="0" fontId="15" fillId="2" borderId="0" xfId="0" applyFont="1" applyFill="1" applyAlignment="1">
      <alignment horizontal="right" wrapText="1"/>
    </xf>
    <xf numFmtId="0" fontId="11" fillId="0" borderId="1" xfId="0" applyFont="1" applyBorder="1" applyAlignment="1">
      <alignment horizontal="center"/>
    </xf>
    <xf numFmtId="0" fontId="16" fillId="0" borderId="1" xfId="0" applyFont="1" applyBorder="1" applyAlignment="1">
      <alignment horizontal="center"/>
    </xf>
    <xf numFmtId="0" fontId="17" fillId="2" borderId="1" xfId="0" applyFont="1" applyFill="1" applyBorder="1" applyAlignment="1">
      <alignment horizontal="right" wrapText="1"/>
    </xf>
    <xf numFmtId="0" fontId="18" fillId="0" borderId="1" xfId="0" applyFont="1" applyBorder="1" applyAlignment="1">
      <alignment horizontal="center" wrapText="1"/>
    </xf>
    <xf numFmtId="0" fontId="11" fillId="0" borderId="1" xfId="0" applyFont="1" applyBorder="1" applyAlignment="1">
      <alignment horizontal="center"/>
    </xf>
    <xf numFmtId="0" fontId="9" fillId="0" borderId="1" xfId="0" applyFont="1" applyBorder="1" applyAlignment="1">
      <alignment horizontal="center"/>
    </xf>
    <xf numFmtId="0" fontId="19" fillId="0" borderId="1" xfId="0" applyFont="1" applyBorder="1" applyAlignment="1">
      <alignment horizontal="center"/>
    </xf>
    <xf numFmtId="0" fontId="20" fillId="0" borderId="1" xfId="0" applyFont="1" applyBorder="1" applyAlignment="1">
      <alignment horizontal="center"/>
    </xf>
    <xf numFmtId="0" fontId="9" fillId="0" borderId="1" xfId="0" applyFont="1" applyBorder="1" applyAlignment="1">
      <alignment horizontal="center"/>
    </xf>
    <xf numFmtId="0" fontId="21" fillId="0" borderId="1" xfId="0" applyFont="1" applyBorder="1" applyAlignment="1">
      <alignment horizontal="right" wrapText="1"/>
    </xf>
    <xf numFmtId="0" fontId="22" fillId="0" borderId="1" xfId="0" applyFont="1" applyBorder="1" applyAlignment="1">
      <alignment horizontal="right" wrapText="1"/>
    </xf>
    <xf numFmtId="0" fontId="23" fillId="0" borderId="1" xfId="0" applyFont="1" applyBorder="1" applyAlignment="1">
      <alignment horizontal="center"/>
    </xf>
    <xf numFmtId="0" fontId="5" fillId="0" borderId="1" xfId="0" applyFont="1" applyBorder="1" applyAlignment="1">
      <alignment horizontal="right" wrapText="1"/>
    </xf>
    <xf numFmtId="0" fontId="24" fillId="0" borderId="1" xfId="0" applyFont="1" applyBorder="1" applyAlignment="1">
      <alignment horizontal="right" wrapText="1"/>
    </xf>
    <xf numFmtId="0" fontId="25" fillId="0" borderId="1" xfId="0" applyFont="1" applyBorder="1" applyAlignment="1">
      <alignment horizontal="center"/>
    </xf>
    <xf numFmtId="0" fontId="11" fillId="0" borderId="1" xfId="0" applyFont="1" applyBorder="1" applyAlignment="1">
      <alignment horizontal="center"/>
    </xf>
    <xf numFmtId="0" fontId="5" fillId="3" borderId="1" xfId="0" applyFont="1" applyFill="1" applyBorder="1" applyAlignment="1">
      <alignment horizontal="center" wrapText="1"/>
    </xf>
    <xf numFmtId="0" fontId="5" fillId="3" borderId="1" xfId="0" applyFont="1" applyFill="1" applyBorder="1" applyAlignment="1">
      <alignment horizontal="center"/>
    </xf>
    <xf numFmtId="0" fontId="11" fillId="3" borderId="1" xfId="0" applyFont="1" applyFill="1" applyBorder="1" applyAlignment="1">
      <alignment horizontal="right" wrapText="1"/>
    </xf>
    <xf numFmtId="0" fontId="9" fillId="3" borderId="1" xfId="0" applyFont="1" applyFill="1" applyBorder="1" applyAlignment="1"/>
    <xf numFmtId="0" fontId="26" fillId="3" borderId="1" xfId="0" applyFont="1" applyFill="1" applyBorder="1" applyAlignment="1">
      <alignment horizontal="center" wrapText="1"/>
    </xf>
    <xf numFmtId="0" fontId="10" fillId="3" borderId="1" xfId="0" applyFont="1" applyFill="1" applyBorder="1" applyAlignment="1">
      <alignment horizontal="center"/>
    </xf>
    <xf numFmtId="0" fontId="11" fillId="3" borderId="1" xfId="0" applyFont="1" applyFill="1" applyBorder="1" applyAlignment="1">
      <alignment horizontal="center" wrapText="1"/>
    </xf>
    <xf numFmtId="0" fontId="27" fillId="0" borderId="1" xfId="0" applyFont="1" applyBorder="1" applyAlignment="1">
      <alignment horizontal="right" wrapText="1"/>
    </xf>
    <xf numFmtId="0" fontId="28" fillId="0" borderId="1" xfId="0" applyFont="1" applyBorder="1" applyAlignment="1">
      <alignment horizontal="right" wrapText="1"/>
    </xf>
    <xf numFmtId="0" fontId="29" fillId="0" borderId="1" xfId="0" applyFont="1" applyBorder="1" applyAlignment="1">
      <alignment horizontal="center" wrapText="1"/>
    </xf>
    <xf numFmtId="0" fontId="30" fillId="0" borderId="1" xfId="0" applyFont="1" applyBorder="1" applyAlignment="1">
      <alignment horizontal="center" wrapText="1"/>
    </xf>
    <xf numFmtId="0" fontId="31" fillId="0" borderId="1" xfId="0" applyFont="1" applyBorder="1" applyAlignment="1">
      <alignment horizontal="center" wrapText="1"/>
    </xf>
    <xf numFmtId="0" fontId="11" fillId="0" borderId="1" xfId="0" applyFont="1" applyBorder="1" applyAlignment="1">
      <alignment horizontal="right" wrapText="1"/>
    </xf>
    <xf numFmtId="0" fontId="32" fillId="0" borderId="1" xfId="0" applyFont="1" applyBorder="1" applyAlignment="1">
      <alignment horizontal="right" wrapText="1"/>
    </xf>
    <xf numFmtId="0" fontId="33" fillId="0" borderId="1" xfId="0" applyFont="1" applyBorder="1" applyAlignment="1">
      <alignment horizontal="center" wrapText="1"/>
    </xf>
    <xf numFmtId="0" fontId="34" fillId="0" borderId="1" xfId="0" applyFont="1" applyBorder="1" applyAlignment="1">
      <alignment horizontal="right" wrapText="1"/>
    </xf>
    <xf numFmtId="0" fontId="5" fillId="4" borderId="1" xfId="0" applyFont="1" applyFill="1" applyBorder="1" applyAlignment="1">
      <alignment horizontal="center"/>
    </xf>
    <xf numFmtId="0" fontId="35" fillId="0" borderId="1" xfId="0" applyFont="1" applyBorder="1" applyAlignment="1">
      <alignment horizontal="center" wrapText="1"/>
    </xf>
    <xf numFmtId="0" fontId="36" fillId="0" borderId="1" xfId="0" applyFont="1" applyBorder="1" applyAlignment="1">
      <alignment horizontal="right" wrapText="1"/>
    </xf>
    <xf numFmtId="0" fontId="37" fillId="0" borderId="1" xfId="0" applyFont="1" applyBorder="1" applyAlignment="1">
      <alignment wrapText="1"/>
    </xf>
    <xf numFmtId="0" fontId="38" fillId="3" borderId="1" xfId="0" applyFont="1" applyFill="1" applyBorder="1" applyAlignment="1">
      <alignment horizontal="center" wrapText="1"/>
    </xf>
    <xf numFmtId="0" fontId="39" fillId="3" borderId="1" xfId="0" applyFont="1" applyFill="1" applyBorder="1" applyAlignment="1">
      <alignment horizontal="center" wrapText="1"/>
    </xf>
    <xf numFmtId="0" fontId="40" fillId="2" borderId="1" xfId="0" applyFont="1" applyFill="1" applyBorder="1" applyAlignment="1">
      <alignment horizontal="left" wrapText="1"/>
    </xf>
    <xf numFmtId="0" fontId="5" fillId="0" borderId="0" xfId="0" applyFont="1" applyAlignment="1">
      <alignment horizontal="center" wrapText="1"/>
    </xf>
    <xf numFmtId="0" fontId="41" fillId="0" borderId="1" xfId="0" applyFont="1" applyBorder="1" applyAlignment="1">
      <alignment horizontal="right"/>
    </xf>
    <xf numFmtId="0" fontId="5" fillId="0" borderId="1" xfId="0" applyFont="1" applyBorder="1" applyAlignment="1">
      <alignment horizontal="right" wrapText="1"/>
    </xf>
    <xf numFmtId="0" fontId="9" fillId="0" borderId="1" xfId="0" applyFont="1" applyBorder="1" applyAlignment="1"/>
    <xf numFmtId="0" fontId="9" fillId="0" borderId="1" xfId="0" applyFont="1" applyBorder="1" applyAlignment="1"/>
    <xf numFmtId="0" fontId="42" fillId="0" borderId="1" xfId="0" applyFont="1" applyBorder="1" applyAlignment="1"/>
    <xf numFmtId="0" fontId="43" fillId="0" borderId="1" xfId="0" applyFont="1" applyBorder="1" applyAlignment="1">
      <alignment wrapText="1"/>
    </xf>
    <xf numFmtId="0" fontId="9" fillId="3" borderId="1" xfId="0" applyFont="1" applyFill="1" applyBorder="1" applyAlignment="1">
      <alignment horizontal="center"/>
    </xf>
    <xf numFmtId="0" fontId="11" fillId="0" borderId="1" xfId="0" applyFont="1" applyBorder="1" applyAlignment="1">
      <alignment horizontal="right" wrapText="1"/>
    </xf>
    <xf numFmtId="0" fontId="44" fillId="0" borderId="1" xfId="0" applyFont="1" applyBorder="1" applyAlignment="1">
      <alignment horizontal="right" wrapText="1"/>
    </xf>
    <xf numFmtId="0" fontId="45" fillId="0" borderId="1" xfId="0" applyFont="1" applyBorder="1" applyAlignment="1">
      <alignment horizontal="center"/>
    </xf>
    <xf numFmtId="0" fontId="10" fillId="0" borderId="1" xfId="0" applyFont="1" applyBorder="1" applyAlignment="1">
      <alignment horizontal="center" wrapText="1"/>
    </xf>
    <xf numFmtId="0" fontId="46" fillId="0" borderId="1" xfId="0" applyFont="1" applyBorder="1" applyAlignment="1">
      <alignment horizontal="center"/>
    </xf>
    <xf numFmtId="0" fontId="46" fillId="0" borderId="1" xfId="0" applyFont="1" applyBorder="1" applyAlignment="1">
      <alignment horizontal="center" wrapText="1"/>
    </xf>
    <xf numFmtId="0" fontId="5" fillId="0" borderId="1" xfId="0" applyFont="1" applyBorder="1" applyAlignment="1">
      <alignment wrapText="1"/>
    </xf>
    <xf numFmtId="0" fontId="11" fillId="4" borderId="1" xfId="0" applyFont="1" applyFill="1" applyBorder="1" applyAlignment="1">
      <alignment horizontal="center"/>
    </xf>
    <xf numFmtId="0" fontId="5" fillId="0" borderId="1" xfId="0" applyFont="1" applyBorder="1" applyAlignment="1">
      <alignment horizontal="right" wrapText="1"/>
    </xf>
    <xf numFmtId="0" fontId="47" fillId="0" borderId="1" xfId="0" applyFont="1" applyBorder="1" applyAlignment="1">
      <alignment horizontal="center"/>
    </xf>
    <xf numFmtId="0" fontId="11" fillId="0" borderId="0" xfId="0" applyFont="1" applyAlignment="1">
      <alignment horizontal="center"/>
    </xf>
    <xf numFmtId="0" fontId="48" fillId="0" borderId="1" xfId="0" applyFont="1" applyBorder="1" applyAlignment="1">
      <alignment horizontal="right" wrapText="1"/>
    </xf>
    <xf numFmtId="0" fontId="49" fillId="0" borderId="1" xfId="0" applyFont="1" applyBorder="1" applyAlignment="1">
      <alignment horizontal="center"/>
    </xf>
    <xf numFmtId="0" fontId="47" fillId="0" borderId="1" xfId="0" applyFont="1" applyBorder="1" applyAlignment="1">
      <alignment horizontal="right" wrapText="1"/>
    </xf>
    <xf numFmtId="0" fontId="11" fillId="0" borderId="1" xfId="0" applyFont="1" applyBorder="1" applyAlignment="1">
      <alignment horizontal="center"/>
    </xf>
    <xf numFmtId="0" fontId="11" fillId="0" borderId="1" xfId="0" applyFont="1" applyBorder="1" applyAlignment="1">
      <alignment horizontal="center"/>
    </xf>
    <xf numFmtId="0" fontId="50" fillId="5" borderId="0" xfId="0" applyFont="1" applyFill="1" applyAlignment="1">
      <alignment wrapText="1"/>
    </xf>
    <xf numFmtId="0" fontId="51" fillId="0" borderId="1" xfId="0" applyFont="1" applyBorder="1" applyAlignment="1">
      <alignment horizontal="center"/>
    </xf>
    <xf numFmtId="0" fontId="9" fillId="0" borderId="1" xfId="0" applyFont="1" applyBorder="1" applyAlignment="1">
      <alignment horizontal="center"/>
    </xf>
    <xf numFmtId="0" fontId="52" fillId="0" borderId="1" xfId="0" applyFont="1" applyBorder="1" applyAlignment="1">
      <alignment horizontal="center"/>
    </xf>
    <xf numFmtId="0" fontId="53" fillId="0" borderId="1" xfId="0" applyFont="1" applyBorder="1" applyAlignment="1">
      <alignment horizontal="center"/>
    </xf>
    <xf numFmtId="0" fontId="54" fillId="0" borderId="1" xfId="0" applyFont="1" applyBorder="1" applyAlignment="1">
      <alignment horizontal="right" wrapText="1"/>
    </xf>
    <xf numFmtId="0" fontId="55" fillId="0" borderId="1" xfId="0" applyFont="1" applyBorder="1" applyAlignment="1">
      <alignment horizontal="center"/>
    </xf>
    <xf numFmtId="0" fontId="56" fillId="0" borderId="1" xfId="0" applyFont="1" applyBorder="1" applyAlignment="1">
      <alignment horizontal="center"/>
    </xf>
    <xf numFmtId="0" fontId="57" fillId="0" borderId="1" xfId="0" applyFont="1" applyBorder="1" applyAlignment="1">
      <alignment horizontal="center"/>
    </xf>
    <xf numFmtId="0" fontId="5" fillId="0" borderId="1" xfId="0" applyFont="1" applyBorder="1" applyAlignment="1">
      <alignment wrapText="1"/>
    </xf>
    <xf numFmtId="0" fontId="23" fillId="0" borderId="1" xfId="0" applyFont="1" applyBorder="1" applyAlignment="1">
      <alignment horizontal="right" wrapText="1"/>
    </xf>
    <xf numFmtId="0" fontId="11" fillId="0" borderId="1" xfId="0" applyFont="1" applyBorder="1" applyAlignment="1">
      <alignment horizontal="left"/>
    </xf>
    <xf numFmtId="0" fontId="9" fillId="0" borderId="1" xfId="0" applyFont="1" applyBorder="1" applyAlignment="1">
      <alignment horizontal="center"/>
    </xf>
    <xf numFmtId="0" fontId="41" fillId="0" borderId="1" xfId="0" applyFont="1" applyBorder="1" applyAlignment="1">
      <alignment horizontal="right"/>
    </xf>
    <xf numFmtId="0" fontId="5" fillId="0" borderId="1" xfId="0" applyFont="1" applyBorder="1" applyAlignment="1">
      <alignment horizontal="center"/>
    </xf>
    <xf numFmtId="0" fontId="5" fillId="0" borderId="1" xfId="0" applyFont="1" applyBorder="1" applyAlignment="1">
      <alignment horizontal="right" wrapText="1"/>
    </xf>
    <xf numFmtId="0" fontId="10" fillId="0" borderId="1" xfId="0" applyFont="1" applyBorder="1" applyAlignment="1">
      <alignment horizontal="center"/>
    </xf>
    <xf numFmtId="0" fontId="5" fillId="0" borderId="1" xfId="0" applyFont="1" applyBorder="1" applyAlignment="1">
      <alignment horizontal="right" wrapText="1"/>
    </xf>
    <xf numFmtId="0" fontId="9" fillId="0" borderId="1" xfId="0" applyFont="1" applyBorder="1" applyAlignment="1">
      <alignment horizontal="right"/>
    </xf>
    <xf numFmtId="0" fontId="58" fillId="0" borderId="1" xfId="0" applyFont="1" applyBorder="1" applyAlignment="1">
      <alignment horizontal="right" wrapText="1"/>
    </xf>
    <xf numFmtId="0" fontId="5" fillId="0" borderId="1" xfId="0" applyFont="1" applyBorder="1" applyAlignment="1">
      <alignment horizontal="center" wrapText="1"/>
    </xf>
    <xf numFmtId="0" fontId="5" fillId="0" borderId="1" xfId="0" applyFont="1" applyBorder="1" applyAlignment="1">
      <alignment horizontal="right" wrapText="1"/>
    </xf>
    <xf numFmtId="0" fontId="5" fillId="3" borderId="0" xfId="0" applyFont="1" applyFill="1" applyAlignment="1">
      <alignment horizontal="center" wrapText="1"/>
    </xf>
    <xf numFmtId="0" fontId="11" fillId="3" borderId="0" xfId="0" applyFont="1" applyFill="1" applyAlignment="1">
      <alignment horizontal="right" wrapText="1"/>
    </xf>
    <xf numFmtId="0" fontId="11" fillId="3" borderId="0" xfId="0" applyFont="1" applyFill="1" applyAlignment="1">
      <alignment horizontal="center"/>
    </xf>
    <xf numFmtId="0" fontId="59" fillId="3" borderId="1" xfId="0" applyFont="1" applyFill="1" applyBorder="1" applyAlignment="1">
      <alignment horizontal="right" wrapText="1"/>
    </xf>
    <xf numFmtId="0" fontId="60" fillId="0" borderId="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827" Type="http://schemas.openxmlformats.org/officeDocument/2006/relationships/hyperlink" Target="https://search.ancestryinstitution.com/aird/search/db.aspx?dbid=1082" TargetMode="External"/><Relationship Id="rId3182" Type="http://schemas.openxmlformats.org/officeDocument/2006/relationships/hyperlink" Target="https://catalog.archives.gov/search?q=*:*&amp;f.ancestorNaIds=7820280&amp;sort=naIdSort%20asc" TargetMode="External"/><Relationship Id="rId3042" Type="http://schemas.openxmlformats.org/officeDocument/2006/relationships/hyperlink" Target="https://search.ancestryinstitution.com/aird/search/db.aspx?dbid=2502" TargetMode="External"/><Relationship Id="rId170" Type="http://schemas.openxmlformats.org/officeDocument/2006/relationships/hyperlink" Target="https://catalog.archives.gov/search-within/2848402?availableOnline=true&amp;sort=naId%3Aasc" TargetMode="External"/><Relationship Id="rId987" Type="http://schemas.openxmlformats.org/officeDocument/2006/relationships/hyperlink" Target="https://catalog.archives.gov/search?q=A4072&amp;f.ancestorNaIds=3477749&amp;sort=naIdSort%20asc" TargetMode="External"/><Relationship Id="rId2668" Type="http://schemas.openxmlformats.org/officeDocument/2006/relationships/hyperlink" Target="https://catalog.archives.gov/search?q=*:*&amp;f.ancestorNaIds=3705014&amp;sort=naIdSort%20asc" TargetMode="External"/><Relationship Id="rId2875" Type="http://schemas.openxmlformats.org/officeDocument/2006/relationships/hyperlink" Target="https://search.ancestryinstitution.com/aird/search/db.aspx?dbid=2507" TargetMode="External"/><Relationship Id="rId847" Type="http://schemas.openxmlformats.org/officeDocument/2006/relationships/hyperlink" Target="https://search.ancestryinstitution.com/aird/search/db.aspx?dbid=60882" TargetMode="External"/><Relationship Id="rId1477" Type="http://schemas.openxmlformats.org/officeDocument/2006/relationships/hyperlink" Target="https://familysearch.org/search/collection/1417695" TargetMode="External"/><Relationship Id="rId1684" Type="http://schemas.openxmlformats.org/officeDocument/2006/relationships/hyperlink" Target="https://search.ancestryinstitution.com/aird/search/db.aspx?dbid=1075" TargetMode="External"/><Relationship Id="rId1891" Type="http://schemas.openxmlformats.org/officeDocument/2006/relationships/hyperlink" Target="https://catalog.archives.gov/search-within/300398?page=2&amp;q=record.microformPublications.identifier%3AM1824&amp;sort=naId%3Aasc" TargetMode="External"/><Relationship Id="rId2528" Type="http://schemas.openxmlformats.org/officeDocument/2006/relationships/hyperlink" Target="http://www.fold3.com/title_765/" TargetMode="External"/><Relationship Id="rId2735" Type="http://schemas.openxmlformats.org/officeDocument/2006/relationships/hyperlink" Target="https://catalog.archives.gov/search-within/4492458" TargetMode="External"/><Relationship Id="rId2942" Type="http://schemas.openxmlformats.org/officeDocument/2006/relationships/hyperlink" Target="https://search.ancestryinstitution.com/aird/search/db.aspx?dbid=2501" TargetMode="External"/><Relationship Id="rId707" Type="http://schemas.openxmlformats.org/officeDocument/2006/relationships/hyperlink" Target="https://search.ancestryinstitution.com/aird/search/db.aspx?dbid=9119" TargetMode="External"/><Relationship Id="rId914" Type="http://schemas.openxmlformats.org/officeDocument/2006/relationships/hyperlink" Target="https://ancestry.com/" TargetMode="External"/><Relationship Id="rId1337" Type="http://schemas.openxmlformats.org/officeDocument/2006/relationships/hyperlink" Target="https://www.familysearch.org/search/catalog/362686" TargetMode="External"/><Relationship Id="rId1544" Type="http://schemas.openxmlformats.org/officeDocument/2006/relationships/hyperlink" Target="http://www.fold3.com/title_769/" TargetMode="External"/><Relationship Id="rId1751" Type="http://schemas.openxmlformats.org/officeDocument/2006/relationships/hyperlink" Target="https://search.ancestryinstitution.com/aird/search/db.aspx?dbid=1139" TargetMode="External"/><Relationship Id="rId2802" Type="http://schemas.openxmlformats.org/officeDocument/2006/relationships/hyperlink" Target="https://search.ancestryinstitution.com/aird/search/db.aspx?dbid=2512" TargetMode="External"/><Relationship Id="rId43" Type="http://schemas.openxmlformats.org/officeDocument/2006/relationships/hyperlink" Target="https://catalog.archives.gov/search-within/2770033?availableOnline=true&amp;sort=naId%3Aasc" TargetMode="External"/><Relationship Id="rId1404" Type="http://schemas.openxmlformats.org/officeDocument/2006/relationships/hyperlink" Target="https://familysearch.org/search/collection/2075263" TargetMode="External"/><Relationship Id="rId1611" Type="http://schemas.openxmlformats.org/officeDocument/2006/relationships/hyperlink" Target="https://www.fold3.com/title/70/dawes-packets" TargetMode="External"/><Relationship Id="rId3369" Type="http://schemas.openxmlformats.org/officeDocument/2006/relationships/hyperlink" Target="https://search.ancestryinstitution.com/aird/search/db.aspx?dbid=2774%09%09%09%09" TargetMode="External"/><Relationship Id="rId497" Type="http://schemas.openxmlformats.org/officeDocument/2006/relationships/hyperlink" Target="https://search.ancestryinstitution.com/search/db.aspx?dbid=2055" TargetMode="External"/><Relationship Id="rId2178" Type="http://schemas.openxmlformats.org/officeDocument/2006/relationships/hyperlink" Target="https://search.ancestryinstitution.com/aird/search/db.aspx?dbid=60614" TargetMode="External"/><Relationship Id="rId2385" Type="http://schemas.openxmlformats.org/officeDocument/2006/relationships/hyperlink" Target="https://search.ancestryinstitution.com/aird/search/db.aspx?dbid=2501" TargetMode="External"/><Relationship Id="rId3229" Type="http://schemas.openxmlformats.org/officeDocument/2006/relationships/hyperlink" Target="https://www.familysearch.org/search/catalog/4092161" TargetMode="External"/><Relationship Id="rId357" Type="http://schemas.openxmlformats.org/officeDocument/2006/relationships/hyperlink" Target="https://www.familysearch.org/search/collection/2427227" TargetMode="External"/><Relationship Id="rId1194" Type="http://schemas.openxmlformats.org/officeDocument/2006/relationships/hyperlink" Target="https://www.fold3.com/title/35/civil-war-service-records-cmsr-confederate-missouri" TargetMode="External"/><Relationship Id="rId2038" Type="http://schemas.openxmlformats.org/officeDocument/2006/relationships/hyperlink" Target="http://www.footnote.com/title_24/" TargetMode="External"/><Relationship Id="rId2592" Type="http://schemas.openxmlformats.org/officeDocument/2006/relationships/hyperlink" Target="https://catalog.archives.gov/search?q=*:*&amp;f.ancestorNaIds=2767346&amp;sort=naIdSort%20asc&amp;f.oldScope=online" TargetMode="External"/><Relationship Id="rId217" Type="http://schemas.openxmlformats.org/officeDocument/2006/relationships/hyperlink" Target="https://catalog.archives.gov/search?q=M2045&amp;ancestorNaId=4532545" TargetMode="External"/><Relationship Id="rId564" Type="http://schemas.openxmlformats.org/officeDocument/2006/relationships/hyperlink" Target="https://catalog.archives.gov/search?q=*:*&amp;f.ancestorNaIds=2663387&amp;sort=naIdSort%20asc" TargetMode="External"/><Relationship Id="rId771" Type="http://schemas.openxmlformats.org/officeDocument/2006/relationships/hyperlink" Target="https://catalog.archives.gov/search?q=A3727&amp;f.ancestorNaIds=2825766&amp;sort=naIdSort%20asc" TargetMode="External"/><Relationship Id="rId2245" Type="http://schemas.openxmlformats.org/officeDocument/2006/relationships/hyperlink" Target="https://search.ancestryinstitution.com/aird/search/db.aspx?dbid=60544" TargetMode="External"/><Relationship Id="rId2452" Type="http://schemas.openxmlformats.org/officeDocument/2006/relationships/hyperlink" Target="https://www.familysearch.org/wiki/en/Louisiana,_Second_Registration_Draft_Cards_-_FamilySearch_Historical_Records" TargetMode="External"/><Relationship Id="rId424" Type="http://schemas.openxmlformats.org/officeDocument/2006/relationships/hyperlink" Target="https://www.familysearch.org/search/collection/2427236" TargetMode="External"/><Relationship Id="rId631" Type="http://schemas.openxmlformats.org/officeDocument/2006/relationships/hyperlink" Target="https://catalog.archives.gov/search?q=*:*&amp;f.ancestorNaIds=2789096&amp;sort=naIdSort%20asc" TargetMode="External"/><Relationship Id="rId1054" Type="http://schemas.openxmlformats.org/officeDocument/2006/relationships/hyperlink" Target="https://ancestry.com/" TargetMode="External"/><Relationship Id="rId1261" Type="http://schemas.openxmlformats.org/officeDocument/2006/relationships/hyperlink" Target="https://search.ancestryinstitution.com/aird/search/db.aspx?dbid=2344" TargetMode="External"/><Relationship Id="rId2105" Type="http://schemas.openxmlformats.org/officeDocument/2006/relationships/hyperlink" Target="https://search.ancestryinstitution.com/aird/search/db.aspx?dbid=2498" TargetMode="External"/><Relationship Id="rId2312" Type="http://schemas.openxmlformats.org/officeDocument/2006/relationships/hyperlink" Target="https://familysearch.org/search/collection/2173973" TargetMode="External"/><Relationship Id="rId1121" Type="http://schemas.openxmlformats.org/officeDocument/2006/relationships/hyperlink" Target="https://search.ancestryinstitution.com/aird/search/db.aspx?dbid=1267" TargetMode="External"/><Relationship Id="rId3086" Type="http://schemas.openxmlformats.org/officeDocument/2006/relationships/hyperlink" Target="https://familysearch.org/search/collection/2174939" TargetMode="External"/><Relationship Id="rId3293" Type="http://schemas.openxmlformats.org/officeDocument/2006/relationships/hyperlink" Target="https://search.ancestryinstitution.com/aird/search/db.aspx?dbid=1033" TargetMode="External"/><Relationship Id="rId1938" Type="http://schemas.openxmlformats.org/officeDocument/2006/relationships/hyperlink" Target="http://www.fold3.com/title_781/%09%09%09%09" TargetMode="External"/><Relationship Id="rId3153" Type="http://schemas.openxmlformats.org/officeDocument/2006/relationships/hyperlink" Target="https://www.fold3.com/title_816/wwii_draft_registration_cards" TargetMode="External"/><Relationship Id="rId3360" Type="http://schemas.openxmlformats.org/officeDocument/2006/relationships/hyperlink" Target="https://search.ancestryinstitution.com/aird/search/db.aspx?dbid=1089" TargetMode="External"/><Relationship Id="rId281" Type="http://schemas.openxmlformats.org/officeDocument/2006/relationships/hyperlink" Target="https://search.ancestryinstitution.com/aird/search/db.aspx?dbid=2502" TargetMode="External"/><Relationship Id="rId3013" Type="http://schemas.openxmlformats.org/officeDocument/2006/relationships/hyperlink" Target="https://catalog.archives.gov/search?q=*:*&amp;f.ancestorNaIds=5889786&amp;sort=naIdSort%20asc" TargetMode="External"/><Relationship Id="rId141" Type="http://schemas.openxmlformats.org/officeDocument/2006/relationships/hyperlink" Target="https://catalog.archives.gov/search-within/2827675?availableOnline=true&amp;sort=naId%3Aasc" TargetMode="External"/><Relationship Id="rId3220" Type="http://schemas.openxmlformats.org/officeDocument/2006/relationships/hyperlink" Target="https://search.ancestryinstitution.com/aird/search/db.aspx?dbid=2238" TargetMode="External"/><Relationship Id="rId7" Type="http://schemas.openxmlformats.org/officeDocument/2006/relationships/hyperlink" Target="https://catalog.archives.gov/search-within/2945976?availableOnline=true&amp;sort=naId%3Aasc" TargetMode="External"/><Relationship Id="rId2779" Type="http://schemas.openxmlformats.org/officeDocument/2006/relationships/hyperlink" Target="https://search.ancestryinstitution.com/aird/search/db.aspx?dbid=2509" TargetMode="External"/><Relationship Id="rId2986" Type="http://schemas.openxmlformats.org/officeDocument/2006/relationships/hyperlink" Target="https://search.ancestryinstitution.com/aird/search/db.aspx?dbid=2501" TargetMode="External"/><Relationship Id="rId958" Type="http://schemas.openxmlformats.org/officeDocument/2006/relationships/hyperlink" Target="https://search.ancestryinstitution.com/aird/search/db.aspx?dbid=9220" TargetMode="External"/><Relationship Id="rId1588" Type="http://schemas.openxmlformats.org/officeDocument/2006/relationships/hyperlink" Target="https://search.ancestryinstitution.com/search/db.aspx?dbid=1629" TargetMode="External"/><Relationship Id="rId1795" Type="http://schemas.openxmlformats.org/officeDocument/2006/relationships/hyperlink" Target="https://familysearch.org/search/collection/1854307" TargetMode="External"/><Relationship Id="rId2639" Type="http://schemas.openxmlformats.org/officeDocument/2006/relationships/hyperlink" Target="https://catalog.archives.gov/search?q=*:*&amp;f.ancestorNaIds=3349854" TargetMode="External"/><Relationship Id="rId2846" Type="http://schemas.openxmlformats.org/officeDocument/2006/relationships/hyperlink" Target="https://catalog.archives.gov/search?q=*:*&amp;f.ancestorNaIds=4684510&amp;sort=naIdSort%20asc" TargetMode="External"/><Relationship Id="rId87" Type="http://schemas.openxmlformats.org/officeDocument/2006/relationships/hyperlink" Target="https://catalog.archives.gov/search-within/2839116?availableOnline=true&amp;sort=naId%3Aasc" TargetMode="External"/><Relationship Id="rId818" Type="http://schemas.openxmlformats.org/officeDocument/2006/relationships/hyperlink" Target="https://catalog.archives.gov/search?q=A3820&amp;f.ancestorNaIds=2953543&amp;sort=naIdSort%20asc" TargetMode="External"/><Relationship Id="rId1448" Type="http://schemas.openxmlformats.org/officeDocument/2006/relationships/hyperlink" Target="https://familysearch.org/search/collection/2075263" TargetMode="External"/><Relationship Id="rId1655" Type="http://schemas.openxmlformats.org/officeDocument/2006/relationships/hyperlink" Target="https://catalog.archives.gov/search?q=*:*&amp;f.ancestorNaIds=4481626&amp;sort=naIdSort%20asc" TargetMode="External"/><Relationship Id="rId2706" Type="http://schemas.openxmlformats.org/officeDocument/2006/relationships/hyperlink" Target="https://search.ancestryinstitution.com/aird/search/db.aspx?dbid=2507" TargetMode="External"/><Relationship Id="rId1308" Type="http://schemas.openxmlformats.org/officeDocument/2006/relationships/hyperlink" Target="https://catalog.archives.gov/search-within/654530?q=record.microformPublications.identifier%3AM543&amp;sort=title%3Aasc" TargetMode="External"/><Relationship Id="rId1862" Type="http://schemas.openxmlformats.org/officeDocument/2006/relationships/hyperlink" Target="https://catalog.archives.gov/search?q=*:*&amp;f.ancestorNaIds=147968170&amp;sort=naIdSort%20asc" TargetMode="External"/><Relationship Id="rId2913" Type="http://schemas.openxmlformats.org/officeDocument/2006/relationships/hyperlink" Target="https://catalog.archives.gov/search-within/4719444" TargetMode="External"/><Relationship Id="rId1515" Type="http://schemas.openxmlformats.org/officeDocument/2006/relationships/hyperlink" Target="https://search.ancestryinstitution.com/aird/search/db.aspx?dbid=1248" TargetMode="External"/><Relationship Id="rId1722" Type="http://schemas.openxmlformats.org/officeDocument/2006/relationships/hyperlink" Target="https://search.ancestryinstitution.com/aird/search/db.aspx?dbid=1193" TargetMode="External"/><Relationship Id="rId14" Type="http://schemas.openxmlformats.org/officeDocument/2006/relationships/hyperlink" Target="https://search.ancestryinstitution.com/aird/search/db.aspx?dbid=2996" TargetMode="External"/><Relationship Id="rId2289" Type="http://schemas.openxmlformats.org/officeDocument/2006/relationships/hyperlink" Target="http://familysearch.org/" TargetMode="External"/><Relationship Id="rId2496" Type="http://schemas.openxmlformats.org/officeDocument/2006/relationships/hyperlink" Target="https://search.ancestryinstitution.com/aird/search/db.aspx?dbid=2503" TargetMode="External"/><Relationship Id="rId468" Type="http://schemas.openxmlformats.org/officeDocument/2006/relationships/hyperlink" Target="https://catalog.archives.gov/search?q=*:*&amp;f.ancestorNaIds=4510120&amp;sort=naIdSort%20asc" TargetMode="External"/><Relationship Id="rId675" Type="http://schemas.openxmlformats.org/officeDocument/2006/relationships/hyperlink" Target="https://catalog.archives.gov/search?q=*:*&amp;f.ancestorNaIds=2668739&amp;sort=naIdSort%20asc" TargetMode="External"/><Relationship Id="rId882" Type="http://schemas.openxmlformats.org/officeDocument/2006/relationships/hyperlink" Target="https://search.ancestryinstitution.com/aird/search/db.aspx?dbid=2996" TargetMode="External"/><Relationship Id="rId1098" Type="http://schemas.openxmlformats.org/officeDocument/2006/relationships/hyperlink" Target="http://www.footnote.com/title_859/" TargetMode="External"/><Relationship Id="rId2149" Type="http://schemas.openxmlformats.org/officeDocument/2006/relationships/hyperlink" Target="https://search.ancestryinstitution.com/aird/search/db.aspx?dbid=1002" TargetMode="External"/><Relationship Id="rId2356" Type="http://schemas.openxmlformats.org/officeDocument/2006/relationships/hyperlink" Target="https://search.ancestryinstitution.com/aird/search/db.aspx?dbid=1174" TargetMode="External"/><Relationship Id="rId2563" Type="http://schemas.openxmlformats.org/officeDocument/2006/relationships/hyperlink" Target="https://www.fold3.com/title_816/wwii_draft_registration_cards" TargetMode="External"/><Relationship Id="rId2770" Type="http://schemas.openxmlformats.org/officeDocument/2006/relationships/hyperlink" Target="https://catalog.archives.gov/search?q=*:*&amp;f.ancestorNaIds=4503236&amp;sort=titleSort%20asc" TargetMode="External"/><Relationship Id="rId328" Type="http://schemas.openxmlformats.org/officeDocument/2006/relationships/hyperlink" Target="http://familysearch.org/" TargetMode="External"/><Relationship Id="rId535" Type="http://schemas.openxmlformats.org/officeDocument/2006/relationships/hyperlink" Target="https://catalog.archives.gov/search?q=A3471&amp;f.ancestorNaIds=3933476" TargetMode="External"/><Relationship Id="rId742" Type="http://schemas.openxmlformats.org/officeDocument/2006/relationships/hyperlink" Target="https://search.ancestryinstitution.com/aird/search/db.aspx?dbid=9220" TargetMode="External"/><Relationship Id="rId1165" Type="http://schemas.openxmlformats.org/officeDocument/2006/relationships/hyperlink" Target="https://catalog.archives.gov/search-within/300398?page=2&amp;q=record.microformPublications.identifier%3AM276&amp;sort=title%3Aasc" TargetMode="External"/><Relationship Id="rId1372" Type="http://schemas.openxmlformats.org/officeDocument/2006/relationships/hyperlink" Target="https://catalog.archives.gov/search?q=M665&amp;f.ancestorNaIds=300381" TargetMode="External"/><Relationship Id="rId2009" Type="http://schemas.openxmlformats.org/officeDocument/2006/relationships/hyperlink" Target="https://familysearch.org/search/collection/2299361" TargetMode="External"/><Relationship Id="rId2216" Type="http://schemas.openxmlformats.org/officeDocument/2006/relationships/hyperlink" Target="https://catalog.archives.gov/search?q=*:*&amp;f.ancestorNaIds=648602&amp;sort=titleSort%20asc" TargetMode="External"/><Relationship Id="rId2423" Type="http://schemas.openxmlformats.org/officeDocument/2006/relationships/hyperlink" Target="https://search.ancestryinstitution.com/aird/search/db.aspx?dbid=1850" TargetMode="External"/><Relationship Id="rId2630" Type="http://schemas.openxmlformats.org/officeDocument/2006/relationships/hyperlink" Target="https://catalog.archives.gov/search?q=*:*&amp;f.ancestorNaIds=3256022&amp;sort=naIdSort%20asc" TargetMode="External"/><Relationship Id="rId602" Type="http://schemas.openxmlformats.org/officeDocument/2006/relationships/hyperlink" Target="https://catalog.archives.gov/search?q=A3524&amp;f.ancestorNaIds=2922354&amp;sort=naIdSort%20asc" TargetMode="External"/><Relationship Id="rId1025" Type="http://schemas.openxmlformats.org/officeDocument/2006/relationships/hyperlink" Target="https://catalog.archives.gov/search?q=A4116&amp;f.ancestorNaIds=2867024&amp;sort=naIdSort%20asc" TargetMode="External"/><Relationship Id="rId1232" Type="http://schemas.openxmlformats.org/officeDocument/2006/relationships/hyperlink" Target="https://catalog.archives.gov/search-within/300398?page=2&amp;q=record.microformPublications.identifier%3AM395&amp;sort=title%3Aasc" TargetMode="External"/><Relationship Id="rId3197" Type="http://schemas.openxmlformats.org/officeDocument/2006/relationships/hyperlink" Target="https://catalog.archives.gov/search?q=*:*&amp;f.ancestorNaIds=7820447&amp;sort=naIdSort%20asc" TargetMode="External"/><Relationship Id="rId3057" Type="http://schemas.openxmlformats.org/officeDocument/2006/relationships/hyperlink" Target="https://catalog.archives.gov/search-within/6207719" TargetMode="External"/><Relationship Id="rId185" Type="http://schemas.openxmlformats.org/officeDocument/2006/relationships/hyperlink" Target="https://catalog.archives.gov/search-within/3663584?availableOnline=true&amp;sort=naId%3Aasc" TargetMode="External"/><Relationship Id="rId1909" Type="http://schemas.openxmlformats.org/officeDocument/2006/relationships/hyperlink" Target="https://familysearch.org/search/collection/2299394" TargetMode="External"/><Relationship Id="rId3264" Type="http://schemas.openxmlformats.org/officeDocument/2006/relationships/hyperlink" Target="http://www.footnote.com/title_896/" TargetMode="External"/><Relationship Id="rId392" Type="http://schemas.openxmlformats.org/officeDocument/2006/relationships/hyperlink" Target="https://search.ancestryinstitution.com/search/db.aspx?dbid=1082" TargetMode="External"/><Relationship Id="rId2073" Type="http://schemas.openxmlformats.org/officeDocument/2006/relationships/hyperlink" Target="https://catalog.archives.gov/search?q=570363%20familysearch" TargetMode="External"/><Relationship Id="rId2280" Type="http://schemas.openxmlformats.org/officeDocument/2006/relationships/hyperlink" Target="https://familysearch.org/search/collection/2187007" TargetMode="External"/><Relationship Id="rId3124" Type="http://schemas.openxmlformats.org/officeDocument/2006/relationships/hyperlink" Target="https://catalog.archives.gov/search-within/7551472" TargetMode="External"/><Relationship Id="rId3331" Type="http://schemas.openxmlformats.org/officeDocument/2006/relationships/hyperlink" Target="https://familysearch.org/search/collection/1325221" TargetMode="External"/><Relationship Id="rId252" Type="http://schemas.openxmlformats.org/officeDocument/2006/relationships/hyperlink" Target="https://catalog.archives.gov/search?q=*:*&amp;f.ancestorNaIds=730944" TargetMode="External"/><Relationship Id="rId2140" Type="http://schemas.openxmlformats.org/officeDocument/2006/relationships/hyperlink" Target="https://search.ancestryinstitution.com/aird/search/db.aspx?dbid=3998" TargetMode="External"/><Relationship Id="rId112" Type="http://schemas.openxmlformats.org/officeDocument/2006/relationships/hyperlink" Target="https://search.ancestryinstitution.com/aird/search/db.aspx?dbid=60517" TargetMode="External"/><Relationship Id="rId1699" Type="http://schemas.openxmlformats.org/officeDocument/2006/relationships/hyperlink" Target="https://search.ancestryinstitution.com/aird/search/db.aspx?dbid=6482" TargetMode="External"/><Relationship Id="rId2000" Type="http://schemas.openxmlformats.org/officeDocument/2006/relationships/hyperlink" Target="https://search.ancestryinstitution.com/aird/search/db.aspx?dbid=2344" TargetMode="External"/><Relationship Id="rId2957" Type="http://schemas.openxmlformats.org/officeDocument/2006/relationships/hyperlink" Target="https://search.ancestryinstitution.com/aird/search/db.aspx?dbid=2501" TargetMode="External"/><Relationship Id="rId929" Type="http://schemas.openxmlformats.org/officeDocument/2006/relationships/hyperlink" Target="https://catalog.archives.gov/search?q=A3982&amp;f.ancestorNaIds=2789504" TargetMode="External"/><Relationship Id="rId1559" Type="http://schemas.openxmlformats.org/officeDocument/2006/relationships/hyperlink" Target="https://catalog.archives.gov/search?q=*:*&amp;f.ancestorNaIds=1756242&amp;sort=naIdSort%20asc" TargetMode="External"/><Relationship Id="rId1766" Type="http://schemas.openxmlformats.org/officeDocument/2006/relationships/hyperlink" Target="https://familysearch.org/search/collection/1877093" TargetMode="External"/><Relationship Id="rId1973" Type="http://schemas.openxmlformats.org/officeDocument/2006/relationships/hyperlink" Target="https://search.ancestryinstitution.com/aird/search/db.aspx?dbid=2344" TargetMode="External"/><Relationship Id="rId2817" Type="http://schemas.openxmlformats.org/officeDocument/2006/relationships/hyperlink" Target="https://www.familysearch.org/search/catalog/results?count=20&amp;query=%2Bkeywords%3A4527091" TargetMode="External"/><Relationship Id="rId58" Type="http://schemas.openxmlformats.org/officeDocument/2006/relationships/hyperlink" Target="https://search.ancestryinstitution.com/aird/search/db.aspx?dbid=9220" TargetMode="External"/><Relationship Id="rId1419" Type="http://schemas.openxmlformats.org/officeDocument/2006/relationships/hyperlink" Target="https://search.ancestryinstitution.com/aird/search/db.aspx?dbid=1264" TargetMode="External"/><Relationship Id="rId1626" Type="http://schemas.openxmlformats.org/officeDocument/2006/relationships/hyperlink" Target="https://search.ancestryinstitution.com/aird/search/db.aspx?dbid=1174" TargetMode="External"/><Relationship Id="rId1833" Type="http://schemas.openxmlformats.org/officeDocument/2006/relationships/hyperlink" Target="https://search.ancestryinstitution.com/aird/search/db.aspx?dbid=1082" TargetMode="External"/><Relationship Id="rId1900" Type="http://schemas.openxmlformats.org/officeDocument/2006/relationships/hyperlink" Target="https://catalog.archives.gov/search?q=M1829&amp;f.ancestorNaIds=300392" TargetMode="External"/><Relationship Id="rId579" Type="http://schemas.openxmlformats.org/officeDocument/2006/relationships/hyperlink" Target="https://search.ancestryinstitution.com/aird/search/db.aspx?dbid=5324" TargetMode="External"/><Relationship Id="rId786" Type="http://schemas.openxmlformats.org/officeDocument/2006/relationships/hyperlink" Target="https://search.ancestryinstitution.com/aird/search/db.aspx?dbid=9220" TargetMode="External"/><Relationship Id="rId993" Type="http://schemas.openxmlformats.org/officeDocument/2006/relationships/hyperlink" Target="https://catalog.archives.gov/search?q=A4075&amp;f.ancestorNaIds=2953583&amp;sort=naIdSort%20asc" TargetMode="External"/><Relationship Id="rId2467" Type="http://schemas.openxmlformats.org/officeDocument/2006/relationships/hyperlink" Target="https://search.ancestryinstitution.com/aird/search/db.aspx?dbid=2500" TargetMode="External"/><Relationship Id="rId2674" Type="http://schemas.openxmlformats.org/officeDocument/2006/relationships/hyperlink" Target="https://search.ancestryinstitution.com/aird/search/db.aspx?dbid=2509" TargetMode="External"/><Relationship Id="rId439" Type="http://schemas.openxmlformats.org/officeDocument/2006/relationships/hyperlink" Target="https://search.ancestryinstitution.com/search/db.aspx?dbid=1277" TargetMode="External"/><Relationship Id="rId646" Type="http://schemas.openxmlformats.org/officeDocument/2006/relationships/hyperlink" Target="https://catalog.archives.gov/search?q=*:*&amp;f.ancestorNaIds=2363850" TargetMode="External"/><Relationship Id="rId1069" Type="http://schemas.openxmlformats.org/officeDocument/2006/relationships/hyperlink" Target="https://catalog.archives.gov/search?q=*:*&amp;f.ancestorNaIds=3020754&amp;sort=naIdSort%20asc" TargetMode="External"/><Relationship Id="rId1276" Type="http://schemas.openxmlformats.org/officeDocument/2006/relationships/hyperlink" Target="https://search.ancestryinstitution.com/aird/search/db.aspx?dbid=8769" TargetMode="External"/><Relationship Id="rId1483" Type="http://schemas.openxmlformats.org/officeDocument/2006/relationships/hyperlink" Target="https://catalog.archives.gov/search?q=*:*&amp;f.ancestorNaIds=653994&amp;sort=naIdSort%20asc" TargetMode="External"/><Relationship Id="rId2327" Type="http://schemas.openxmlformats.org/officeDocument/2006/relationships/hyperlink" Target="https://catalog.archives.gov/search?q=*:*&amp;f.ancestorNaIds=1151868&amp;sort=naIdSort%20asc" TargetMode="External"/><Relationship Id="rId2881" Type="http://schemas.openxmlformats.org/officeDocument/2006/relationships/hyperlink" Target="https://www.familysearch.org/search/catalog/3303033" TargetMode="External"/><Relationship Id="rId506" Type="http://schemas.openxmlformats.org/officeDocument/2006/relationships/hyperlink" Target="https://catalog.archives.gov/search?q=A3457&amp;f.ancestorNaIds=4039472" TargetMode="External"/><Relationship Id="rId853" Type="http://schemas.openxmlformats.org/officeDocument/2006/relationships/hyperlink" Target="https://catalog.archives.gov/search?q=A3862&amp;f.ancestorNaIds=2945493&amp;sort=naIdSort%20asc" TargetMode="External"/><Relationship Id="rId1136" Type="http://schemas.openxmlformats.org/officeDocument/2006/relationships/hyperlink" Target="https://www.fold3.com/title/29/civil-war-service-records-cmsr-confederate-confederate-government-csa" TargetMode="External"/><Relationship Id="rId1690" Type="http://schemas.openxmlformats.org/officeDocument/2006/relationships/hyperlink" Target="https://search.ancestryinstitution.com/aird/search/db.aspx?dbid=1174" TargetMode="External"/><Relationship Id="rId2534" Type="http://schemas.openxmlformats.org/officeDocument/2006/relationships/hyperlink" Target="https://search.ancestryinstitution.com/aird/search/db.aspx?dbid=2503" TargetMode="External"/><Relationship Id="rId2741" Type="http://schemas.openxmlformats.org/officeDocument/2006/relationships/hyperlink" Target="https://www.familysearch.org/wiki/en/Puerto_Rico,_Naturalization_Records_-_FamilySearch_Historical_Records" TargetMode="External"/><Relationship Id="rId713" Type="http://schemas.openxmlformats.org/officeDocument/2006/relationships/hyperlink" Target="https://search.ancestryinstitution.com/aird/search/db.aspx?dbid=60517" TargetMode="External"/><Relationship Id="rId920" Type="http://schemas.openxmlformats.org/officeDocument/2006/relationships/hyperlink" Target="https://search.ancestryinstitution.com/aird/search/db.aspx?dbid=60500" TargetMode="External"/><Relationship Id="rId1343" Type="http://schemas.openxmlformats.org/officeDocument/2006/relationships/hyperlink" Target="https://search.ancestryinstitution.com/aird/search/db.aspx?dbid=8679" TargetMode="External"/><Relationship Id="rId1550" Type="http://schemas.openxmlformats.org/officeDocument/2006/relationships/hyperlink" Target="https://familysearch.org/search/collection/2427894" TargetMode="External"/><Relationship Id="rId2601" Type="http://schemas.openxmlformats.org/officeDocument/2006/relationships/hyperlink" Target="https://search.ancestryinstitution.com/aird/search/db.aspx?dbid=2503" TargetMode="External"/><Relationship Id="rId1203" Type="http://schemas.openxmlformats.org/officeDocument/2006/relationships/hyperlink" Target="https://familysearch.org/search/collection/1932382" TargetMode="External"/><Relationship Id="rId1410" Type="http://schemas.openxmlformats.org/officeDocument/2006/relationships/hyperlink" Target="https://familysearch.org/search/collection/2075263" TargetMode="External"/><Relationship Id="rId3168" Type="http://schemas.openxmlformats.org/officeDocument/2006/relationships/hyperlink" Target="https://search.ancestryinstitution.com/aird/search/db.aspx?dbid=2238" TargetMode="External"/><Relationship Id="rId3375" Type="http://schemas.openxmlformats.org/officeDocument/2006/relationships/hyperlink" Target="https://catalog.archives.gov/search?q=*:*&amp;f.ancestorNaIds=2791273&amp;sort=naIdSort%20asc" TargetMode="External"/><Relationship Id="rId296" Type="http://schemas.openxmlformats.org/officeDocument/2006/relationships/hyperlink" Target="https://catalog.archives.gov/search?q=*:*&amp;f.ancestorNaIds=4693982" TargetMode="External"/><Relationship Id="rId2184" Type="http://schemas.openxmlformats.org/officeDocument/2006/relationships/hyperlink" Target="https://catalog.archives.gov/search-within/616363" TargetMode="External"/><Relationship Id="rId2391" Type="http://schemas.openxmlformats.org/officeDocument/2006/relationships/hyperlink" Target="https://search.ancestryinstitution.com/aird/search/db.aspx?dbid=2505" TargetMode="External"/><Relationship Id="rId3028" Type="http://schemas.openxmlformats.org/officeDocument/2006/relationships/hyperlink" Target="https://catalog.archives.gov/search?q=*:*&amp;f.ancestorNaIds=6037068&amp;sort=naIdSort%20asc" TargetMode="External"/><Relationship Id="rId3235" Type="http://schemas.openxmlformats.org/officeDocument/2006/relationships/hyperlink" Target="https://www.familysearch.org/search/catalog/3029446" TargetMode="External"/><Relationship Id="rId156" Type="http://schemas.openxmlformats.org/officeDocument/2006/relationships/hyperlink" Target="https://familysearch.org/search/collection/2443353" TargetMode="External"/><Relationship Id="rId363" Type="http://schemas.openxmlformats.org/officeDocument/2006/relationships/hyperlink" Target="https://search.ancestryinstitution.com/search/db.aspx?dbid=8842" TargetMode="External"/><Relationship Id="rId570" Type="http://schemas.openxmlformats.org/officeDocument/2006/relationships/hyperlink" Target="https://search.ancestryinstitution.com/aird/search/db.aspx?dbid=5309" TargetMode="External"/><Relationship Id="rId2044" Type="http://schemas.openxmlformats.org/officeDocument/2006/relationships/hyperlink" Target="http://www.footnote.com/title_863/" TargetMode="External"/><Relationship Id="rId2251" Type="http://schemas.openxmlformats.org/officeDocument/2006/relationships/hyperlink" Target="https://search.ancestryinstitution.com/aird/search/db.aspx?dbid=2508" TargetMode="External"/><Relationship Id="rId3302" Type="http://schemas.openxmlformats.org/officeDocument/2006/relationships/hyperlink" Target="https://familysearch.org/search/collection/2043777" TargetMode="External"/><Relationship Id="rId223" Type="http://schemas.openxmlformats.org/officeDocument/2006/relationships/hyperlink" Target="https://catalog.archives.gov/search-within/300398?q=colored%20troops%20and%2066th%20or%2067th%20or%2068th%20or%2069th%20or%2070th%20or%2071st%20or%2072nd%20or%2073rd%20or%2074th%20or%2075th%20or%2076th%20or%2077th%20or%2078th%20or%2078th%20or%2080th%20or%2081st%20or%2082nd" TargetMode="External"/><Relationship Id="rId430" Type="http://schemas.openxmlformats.org/officeDocument/2006/relationships/hyperlink" Target="https://search.ancestryinstitution.com/search/db.aspx?dbid=1082" TargetMode="External"/><Relationship Id="rId1060" Type="http://schemas.openxmlformats.org/officeDocument/2006/relationships/hyperlink" Target="https://search.ancestryinstitution.com/aird/search/db.aspx?dbid=9220" TargetMode="External"/><Relationship Id="rId2111" Type="http://schemas.openxmlformats.org/officeDocument/2006/relationships/hyperlink" Target="https://search.ancestryinstitution.com/aird/search/db.aspx?dbid=1850" TargetMode="External"/><Relationship Id="rId1877" Type="http://schemas.openxmlformats.org/officeDocument/2006/relationships/hyperlink" Target="https://search.ancestry.com/search/db.aspx?dbid=1107" TargetMode="External"/><Relationship Id="rId2928" Type="http://schemas.openxmlformats.org/officeDocument/2006/relationships/hyperlink" Target="https://search.ancestryinstitution.com/aird/search/db.aspx?dbid=2238" TargetMode="External"/><Relationship Id="rId1737" Type="http://schemas.openxmlformats.org/officeDocument/2006/relationships/hyperlink" Target="https://search.ancestryinstitution.com/aird/search/db.aspx?dbid=1629" TargetMode="External"/><Relationship Id="rId1944" Type="http://schemas.openxmlformats.org/officeDocument/2006/relationships/hyperlink" Target="http://www.footnote.com/title_776/" TargetMode="External"/><Relationship Id="rId3092" Type="http://schemas.openxmlformats.org/officeDocument/2006/relationships/hyperlink" Target="https://search.ancestryinstitution.com/aird/search/db.aspx?dbid=60593" TargetMode="External"/><Relationship Id="rId29" Type="http://schemas.openxmlformats.org/officeDocument/2006/relationships/hyperlink" Target="https://search.ancestryinstitution.com/aird/search/db.aspx?dbid=1042" TargetMode="External"/><Relationship Id="rId1804" Type="http://schemas.openxmlformats.org/officeDocument/2006/relationships/hyperlink" Target="https://familysearch.org/search/collection/1916230" TargetMode="External"/><Relationship Id="rId897" Type="http://schemas.openxmlformats.org/officeDocument/2006/relationships/hyperlink" Target="https://catalog.archives.gov/search?q=A3947&amp;f.ancestorNaIds=2788521&amp;sort=naIdSort%20asc" TargetMode="External"/><Relationship Id="rId2578" Type="http://schemas.openxmlformats.org/officeDocument/2006/relationships/hyperlink" Target="https://search.ancestryinstitution.com/aird/search/db.aspx?dbid=2509" TargetMode="External"/><Relationship Id="rId2785" Type="http://schemas.openxmlformats.org/officeDocument/2006/relationships/hyperlink" Target="https://www.familysearch.org/search/catalog/3743038?availability=Family%20History%20Library" TargetMode="External"/><Relationship Id="rId2992" Type="http://schemas.openxmlformats.org/officeDocument/2006/relationships/hyperlink" Target="https://search.ancestryinstitution.com/aird/search/db.aspx?dbid=60593" TargetMode="External"/><Relationship Id="rId757" Type="http://schemas.openxmlformats.org/officeDocument/2006/relationships/hyperlink" Target="https://search.ancestryinstitution.com/search/db.aspx?dbid=60882" TargetMode="External"/><Relationship Id="rId964" Type="http://schemas.openxmlformats.org/officeDocument/2006/relationships/hyperlink" Target="https://catalog.archives.gov/search?q=A4031&amp;f.ancestorNaIds=3188609&amp;sort=naIdSort%20asc" TargetMode="External"/><Relationship Id="rId1387" Type="http://schemas.openxmlformats.org/officeDocument/2006/relationships/hyperlink" Target="https://catalog.archives.gov/search-within/300398?page=2&amp;q=record.microformPublications.identifier%3AM692&amp;sort=title%3Aasc" TargetMode="External"/><Relationship Id="rId1594" Type="http://schemas.openxmlformats.org/officeDocument/2006/relationships/hyperlink" Target="https://search.ancestryinstitution.com/aird/search/db.aspx?dbid=1192" TargetMode="External"/><Relationship Id="rId2438" Type="http://schemas.openxmlformats.org/officeDocument/2006/relationships/hyperlink" Target="https://search.ancestryinstitution.com/aird/search/db.aspx?dbid=2238" TargetMode="External"/><Relationship Id="rId2645" Type="http://schemas.openxmlformats.org/officeDocument/2006/relationships/hyperlink" Target="https://catalog.archives.gov/search-within/3475315" TargetMode="External"/><Relationship Id="rId2852" Type="http://schemas.openxmlformats.org/officeDocument/2006/relationships/hyperlink" Target="https://www.familysearch.org/search/catalog/3303033" TargetMode="External"/><Relationship Id="rId93" Type="http://schemas.openxmlformats.org/officeDocument/2006/relationships/hyperlink" Target="https://catalog.archives.gov/search-within/2843069?availableOnline=true&amp;sort=naId%3Aasc" TargetMode="External"/><Relationship Id="rId617" Type="http://schemas.openxmlformats.org/officeDocument/2006/relationships/hyperlink" Target="https://search.ancestryinstitution.com/aird/search/db.aspx?dbid=8769" TargetMode="External"/><Relationship Id="rId824" Type="http://schemas.openxmlformats.org/officeDocument/2006/relationships/hyperlink" Target="https://search.ancestryinstitution.com/aird/search/db.aspx?dbid=9220" TargetMode="External"/><Relationship Id="rId1247" Type="http://schemas.openxmlformats.org/officeDocument/2006/relationships/hyperlink" Target="https://catalog.archives.gov/search-within/300398?page=2&amp;q=record.microformPublications.identifier%3AM399&amp;sort=title%3Aasc" TargetMode="External"/><Relationship Id="rId1454" Type="http://schemas.openxmlformats.org/officeDocument/2006/relationships/hyperlink" Target="https://search.ancestryinstitution.com/aird/search/db.aspx?dbid=1264" TargetMode="External"/><Relationship Id="rId1661" Type="http://schemas.openxmlformats.org/officeDocument/2006/relationships/hyperlink" Target="https://catalog.archives.gov/search?q=M1442&amp;f.ancestorNaIds=302021&amp;sort=naIdSort%20asc" TargetMode="External"/><Relationship Id="rId2505" Type="http://schemas.openxmlformats.org/officeDocument/2006/relationships/hyperlink" Target="https://search.ancestryinstitution.com/aird/search/db.aspx?dbid=2505" TargetMode="External"/><Relationship Id="rId2712" Type="http://schemas.openxmlformats.org/officeDocument/2006/relationships/hyperlink" Target="https://catalog.archives.gov/search?q=*:*&amp;f.ancestorNaIds=4477675&amp;sort=naIdSort%20asc" TargetMode="External"/><Relationship Id="rId1107" Type="http://schemas.openxmlformats.org/officeDocument/2006/relationships/hyperlink" Target="https://catalog.archives.gov/search?q=*:*&amp;f.ancestorNaIds=2945495&amp;sort=naIdSort%20asc" TargetMode="External"/><Relationship Id="rId1314" Type="http://schemas.openxmlformats.org/officeDocument/2006/relationships/hyperlink" Target="https://catalog.archives.gov/search-within/654530?q=record.microformPublications.identifier%3AM546&amp;sort=title%3Aasc" TargetMode="External"/><Relationship Id="rId1521" Type="http://schemas.openxmlformats.org/officeDocument/2006/relationships/hyperlink" Target="https://search.ancestryinstitution.com/aird/search/db.aspx?dbid=1267" TargetMode="External"/><Relationship Id="rId3279" Type="http://schemas.openxmlformats.org/officeDocument/2006/relationships/hyperlink" Target="http://familysearch.org/" TargetMode="External"/><Relationship Id="rId20" Type="http://schemas.openxmlformats.org/officeDocument/2006/relationships/hyperlink" Target="https://search.ancestryinstitution.com/aird/search/db.aspx?dbid=9220" TargetMode="External"/><Relationship Id="rId2088" Type="http://schemas.openxmlformats.org/officeDocument/2006/relationships/hyperlink" Target="https://search.ancestryinstitution.com/aird/search/db.aspx?dbid=2509" TargetMode="External"/><Relationship Id="rId2295" Type="http://schemas.openxmlformats.org/officeDocument/2006/relationships/hyperlink" Target="https://search.ancestryinstitution.com/aird/search/db.aspx?dbid=3038" TargetMode="External"/><Relationship Id="rId3139" Type="http://schemas.openxmlformats.org/officeDocument/2006/relationships/hyperlink" Target="https://www.fold3.com/title_816/wwii_draft_registration_cards" TargetMode="External"/><Relationship Id="rId3346" Type="http://schemas.openxmlformats.org/officeDocument/2006/relationships/hyperlink" Target="https://catalog.archives.gov/search?q=*:*&amp;f.ancestorNaIds=6857840&amp;sort=naIdSort%20asc" TargetMode="External"/><Relationship Id="rId267" Type="http://schemas.openxmlformats.org/officeDocument/2006/relationships/hyperlink" Target="https://search.ancestryinstitution.com/aird/search/db.aspx?dbid=2502" TargetMode="External"/><Relationship Id="rId474" Type="http://schemas.openxmlformats.org/officeDocument/2006/relationships/hyperlink" Target="https://search.ancestryinstitution.com/search/db.aspx?dbid=1056" TargetMode="External"/><Relationship Id="rId2155" Type="http://schemas.openxmlformats.org/officeDocument/2006/relationships/hyperlink" Target="https://catalog.archives.gov/search?q=*:*&amp;f.ancestorNaIds=599221&amp;sort=naIdSort%20asc" TargetMode="External"/><Relationship Id="rId127" Type="http://schemas.openxmlformats.org/officeDocument/2006/relationships/hyperlink" Target="https://catalog.archives.gov/search-within/2771918?availableOnline=true&amp;sort=naId%3Aasc" TargetMode="External"/><Relationship Id="rId681" Type="http://schemas.openxmlformats.org/officeDocument/2006/relationships/hyperlink" Target="https://search.ancestryinstitution.com/search/db.aspx?dbid=8745" TargetMode="External"/><Relationship Id="rId2362" Type="http://schemas.openxmlformats.org/officeDocument/2006/relationships/hyperlink" Target="https://search.ancestryinstitution.com/aird/search/db.aspx?dbid=2134%09" TargetMode="External"/><Relationship Id="rId3206" Type="http://schemas.openxmlformats.org/officeDocument/2006/relationships/hyperlink" Target="http://familysearch.org/" TargetMode="External"/><Relationship Id="rId334" Type="http://schemas.openxmlformats.org/officeDocument/2006/relationships/hyperlink" Target="http://familysearch.org/" TargetMode="External"/><Relationship Id="rId541" Type="http://schemas.openxmlformats.org/officeDocument/2006/relationships/hyperlink" Target="https://search.ancestryinstitution.com/aird/search/db.aspx?dbid=1075" TargetMode="External"/><Relationship Id="rId1171" Type="http://schemas.openxmlformats.org/officeDocument/2006/relationships/hyperlink" Target="http://www.fold3.com/title_774/" TargetMode="External"/><Relationship Id="rId2015" Type="http://schemas.openxmlformats.org/officeDocument/2006/relationships/hyperlink" Target="https://search.ancestryinstitution.com/aird/search/db.aspx?dbid=2897" TargetMode="External"/><Relationship Id="rId2222" Type="http://schemas.openxmlformats.org/officeDocument/2006/relationships/hyperlink" Target="https://catalog.archives.gov/search?q=*:*&amp;f.ancestorNaIds=649146&amp;sort=titleSort%20asc" TargetMode="External"/><Relationship Id="rId401" Type="http://schemas.openxmlformats.org/officeDocument/2006/relationships/hyperlink" Target="https://search.ancestryinstitution.com/search/db.aspx?dbid=8988" TargetMode="External"/><Relationship Id="rId1031" Type="http://schemas.openxmlformats.org/officeDocument/2006/relationships/hyperlink" Target="https://catalog.archives.gov/search?q=A4119&amp;f.ancestorNaIds=3021165&amp;sort=naIdSort%20asc" TargetMode="External"/><Relationship Id="rId1988" Type="http://schemas.openxmlformats.org/officeDocument/2006/relationships/hyperlink" Target="https://www.fold3.com/title/684/civil-war-service-records-cmsr-union-colored-troops-41st-46th-infantry" TargetMode="External"/><Relationship Id="rId1848" Type="http://schemas.openxmlformats.org/officeDocument/2006/relationships/hyperlink" Target="https://catalog.archives.gov/search-within/300398?page=2&amp;q=record.microformPublications.identifier%3AM1787&amp;sort=title%3Aasc" TargetMode="External"/><Relationship Id="rId3063" Type="http://schemas.openxmlformats.org/officeDocument/2006/relationships/hyperlink" Target="https://search.ancestryinstitution.com/aird/search/db.aspx?dbid=1850" TargetMode="External"/><Relationship Id="rId3270" Type="http://schemas.openxmlformats.org/officeDocument/2006/relationships/hyperlink" Target="https://fraser.stlouisfed.org/archival-collection/records-women-s-bureau-5963" TargetMode="External"/><Relationship Id="rId191" Type="http://schemas.openxmlformats.org/officeDocument/2006/relationships/hyperlink" Target="https://familysearch.org/search/collection/1987567" TargetMode="External"/><Relationship Id="rId1708" Type="http://schemas.openxmlformats.org/officeDocument/2006/relationships/hyperlink" Target="https://www.fold3.com/title/110/naturalizations-ca-southern" TargetMode="External"/><Relationship Id="rId1915" Type="http://schemas.openxmlformats.org/officeDocument/2006/relationships/hyperlink" Target="https://catalog.archives.gov/search?q=*:*&amp;f.ancestorNaIds=576072&amp;sort=naIdSort%20asc&amp;f.oldScope=online" TargetMode="External"/><Relationship Id="rId3130" Type="http://schemas.openxmlformats.org/officeDocument/2006/relationships/hyperlink" Target="https://www.fold3.com/title_816/wwii_draft_registration_cards" TargetMode="External"/><Relationship Id="rId2689" Type="http://schemas.openxmlformats.org/officeDocument/2006/relationships/hyperlink" Target="https://search.ancestryinstitution.com/aird/search/db.aspx?dbid=2509" TargetMode="External"/><Relationship Id="rId2896" Type="http://schemas.openxmlformats.org/officeDocument/2006/relationships/hyperlink" Target="https://search.ancestryinstitution.com/aird/search/db.aspx?dbid=2507" TargetMode="External"/><Relationship Id="rId868" Type="http://schemas.openxmlformats.org/officeDocument/2006/relationships/hyperlink" Target="https://catalog.archives.gov/search?q=A3911&amp;f.ancestorNaIds=3242808&amp;sort=naIdSort%20asc" TargetMode="External"/><Relationship Id="rId1498" Type="http://schemas.openxmlformats.org/officeDocument/2006/relationships/hyperlink" Target="https://search.ancestryinstitution.com/aird/search/db.aspx?dbid=2058" TargetMode="External"/><Relationship Id="rId2549" Type="http://schemas.openxmlformats.org/officeDocument/2006/relationships/hyperlink" Target="https://search.ancestryinstitution.com/aird/search/db.aspx?dbid=2503" TargetMode="External"/><Relationship Id="rId2756" Type="http://schemas.openxmlformats.org/officeDocument/2006/relationships/hyperlink" Target="https://catalog.archives.gov/search?q=*:*&amp;f.ancestorNaIds=4499506&amp;sort=titleSort%20asc" TargetMode="External"/><Relationship Id="rId2963" Type="http://schemas.openxmlformats.org/officeDocument/2006/relationships/hyperlink" Target="https://www.familysearch.org/search/collection/2075263" TargetMode="External"/><Relationship Id="rId728" Type="http://schemas.openxmlformats.org/officeDocument/2006/relationships/hyperlink" Target="https://catalog.archives.gov/search?q=A3664&amp;f.ancestorNaIds=2884841&amp;sort=naIdSort%20asc" TargetMode="External"/><Relationship Id="rId935" Type="http://schemas.openxmlformats.org/officeDocument/2006/relationships/hyperlink" Target="https://search.ancestryinstitution.com/aird/search/db.aspx?dbid=9220" TargetMode="External"/><Relationship Id="rId1358" Type="http://schemas.openxmlformats.org/officeDocument/2006/relationships/hyperlink" Target="https://familysearch.org/search/collection/1987567" TargetMode="External"/><Relationship Id="rId1565" Type="http://schemas.openxmlformats.org/officeDocument/2006/relationships/hyperlink" Target="https://catalog.archives.gov/search?q=M1144&amp;f.level=fileunit&amp;f.oldScope=online&amp;f.recordGroupNoCollectionId=85" TargetMode="External"/><Relationship Id="rId1772" Type="http://schemas.openxmlformats.org/officeDocument/2006/relationships/hyperlink" Target="https://familysearch.org/search/collection/1877093" TargetMode="External"/><Relationship Id="rId2409" Type="http://schemas.openxmlformats.org/officeDocument/2006/relationships/hyperlink" Target="https://search.ancestryinstitution.com/aird/search/db.aspx?dbid=1850" TargetMode="External"/><Relationship Id="rId2616" Type="http://schemas.openxmlformats.org/officeDocument/2006/relationships/hyperlink" Target="https://catalog.archives.gov/search?q=*:*&amp;f.ancestorNaIds=2843163&amp;sort=naIdSort%20asc" TargetMode="External"/><Relationship Id="rId64" Type="http://schemas.openxmlformats.org/officeDocument/2006/relationships/hyperlink" Target="https://search.ancestryinstitution.com/aird/search/db.aspx?dbid=9118" TargetMode="External"/><Relationship Id="rId1218" Type="http://schemas.openxmlformats.org/officeDocument/2006/relationships/hyperlink" Target="https://familysearch.org/search/collection/2173965" TargetMode="External"/><Relationship Id="rId1425" Type="http://schemas.openxmlformats.org/officeDocument/2006/relationships/hyperlink" Target="https://search.ancestryinstitution.com/aird/search/db.aspx?dbid=1264" TargetMode="External"/><Relationship Id="rId2823" Type="http://schemas.openxmlformats.org/officeDocument/2006/relationships/hyperlink" Target="https://catalog.archives.gov/search?q=*:*&amp;f.ancestorNaIds=4556725&amp;sort=naIdSort%20asc" TargetMode="External"/><Relationship Id="rId1632" Type="http://schemas.openxmlformats.org/officeDocument/2006/relationships/hyperlink" Target="https://familysearch.org/search/collection/2299373" TargetMode="External"/><Relationship Id="rId2199" Type="http://schemas.openxmlformats.org/officeDocument/2006/relationships/hyperlink" Target="https://search.ancestryinstitution.com/aird/search/db.aspx?dbid=2163" TargetMode="External"/><Relationship Id="rId378" Type="http://schemas.openxmlformats.org/officeDocument/2006/relationships/hyperlink" Target="http://familysearch.org/" TargetMode="External"/><Relationship Id="rId585" Type="http://schemas.openxmlformats.org/officeDocument/2006/relationships/hyperlink" Target="https://catalog.archives.gov/search?q=*:*&amp;f.ancestorNaIds=2843062" TargetMode="External"/><Relationship Id="rId792" Type="http://schemas.openxmlformats.org/officeDocument/2006/relationships/hyperlink" Target="https://search.ancestryinstitution.com/search/db.aspx?dbid=9111" TargetMode="External"/><Relationship Id="rId2059" Type="http://schemas.openxmlformats.org/officeDocument/2006/relationships/hyperlink" Target="http://www.fold3.com/title_765/" TargetMode="External"/><Relationship Id="rId2266" Type="http://schemas.openxmlformats.org/officeDocument/2006/relationships/hyperlink" Target="https://catalog.archives.gov/search?q=*:*&amp;f.ancestorNaIds=784231&amp;sort=naIdSort%20asc" TargetMode="External"/><Relationship Id="rId2473" Type="http://schemas.openxmlformats.org/officeDocument/2006/relationships/hyperlink" Target="https://catalog.archives.gov/search?q=*:*&amp;f.ancestorNaIds=%202285201&amp;sort=naIdSort%20asc" TargetMode="External"/><Relationship Id="rId2680" Type="http://schemas.openxmlformats.org/officeDocument/2006/relationships/hyperlink" Target="https://search.ancestryinstitution.com/aird/search/db.aspx?dbid=2500" TargetMode="External"/><Relationship Id="rId3317" Type="http://schemas.openxmlformats.org/officeDocument/2006/relationships/hyperlink" Target="https://www.fold3.com/page/104-naturalization-records-of-the-u-s-circuit-court-for-the-eastern-district-of-louisiana-new-orleans-division-petitions-1838-1861-p2233" TargetMode="External"/><Relationship Id="rId238" Type="http://schemas.openxmlformats.org/officeDocument/2006/relationships/hyperlink" Target="https://search.ancestryinstitution.com/aird/search/db.aspx?dbid=4906" TargetMode="External"/><Relationship Id="rId445" Type="http://schemas.openxmlformats.org/officeDocument/2006/relationships/hyperlink" Target="https://catalog.archives.gov/search?q=*:*&amp;f.parentNaId=49276534&amp;f.level=fileUnit&amp;sort=naIdSort%20asc" TargetMode="External"/><Relationship Id="rId652" Type="http://schemas.openxmlformats.org/officeDocument/2006/relationships/hyperlink" Target="https://search.ancestryinstitution.com/aird/search/db.aspx?dbid=9220" TargetMode="External"/><Relationship Id="rId1075" Type="http://schemas.openxmlformats.org/officeDocument/2006/relationships/hyperlink" Target="https://search.ancestryinstitution.com/aird/search/db.aspx?dbid=8842" TargetMode="External"/><Relationship Id="rId1282" Type="http://schemas.openxmlformats.org/officeDocument/2006/relationships/hyperlink" Target="https://familysearch.org/search/collection/1401638" TargetMode="External"/><Relationship Id="rId2126" Type="http://schemas.openxmlformats.org/officeDocument/2006/relationships/hyperlink" Target="https://search.ancestryinstitution.com/aird/search/db.aspx?dbid=2509" TargetMode="External"/><Relationship Id="rId2333" Type="http://schemas.openxmlformats.org/officeDocument/2006/relationships/hyperlink" Target="https://catalog.archives.gov/search?q=*:*&amp;f.ancestorNaIds=1157626&amp;sort=naIdSort%20asc" TargetMode="External"/><Relationship Id="rId2540" Type="http://schemas.openxmlformats.org/officeDocument/2006/relationships/hyperlink" Target="https://catalog.archives.gov/search?q=*:*&amp;f.ancestorNaIds=2602420&amp;sort=naIdSort%20asc" TargetMode="External"/><Relationship Id="rId305" Type="http://schemas.openxmlformats.org/officeDocument/2006/relationships/hyperlink" Target="http://www.footnote.com/title_650/" TargetMode="External"/><Relationship Id="rId512" Type="http://schemas.openxmlformats.org/officeDocument/2006/relationships/hyperlink" Target="https://www.familysearch.org/search/collection/2427900" TargetMode="External"/><Relationship Id="rId1142" Type="http://schemas.openxmlformats.org/officeDocument/2006/relationships/hyperlink" Target="https://familysearch.org/search/collection/1919703" TargetMode="External"/><Relationship Id="rId2400" Type="http://schemas.openxmlformats.org/officeDocument/2006/relationships/hyperlink" Target="http://www.footnote.com/title_63/" TargetMode="External"/><Relationship Id="rId1002" Type="http://schemas.openxmlformats.org/officeDocument/2006/relationships/hyperlink" Target="https://catalog.archives.gov/search?q=A4081&amp;f.ancestorNaIds=3000090&amp;sort=naIdSort%20asc" TargetMode="External"/><Relationship Id="rId1959" Type="http://schemas.openxmlformats.org/officeDocument/2006/relationships/hyperlink" Target="https://catalog.archives.gov/search?q=m1946%20fold3&amp;sort=naIdSort%20asc&amp;f.level=fileunit&amp;f.recordGroupNoCollectionId=260&amp;f.oldScope=online" TargetMode="External"/><Relationship Id="rId3174" Type="http://schemas.openxmlformats.org/officeDocument/2006/relationships/hyperlink" Target="https://search.ancestryinstitution.com/aird/search/db.aspx?dbid=2238" TargetMode="External"/><Relationship Id="rId1819" Type="http://schemas.openxmlformats.org/officeDocument/2006/relationships/hyperlink" Target="https://familysearch.org/search/collection/2299376" TargetMode="External"/><Relationship Id="rId3381" Type="http://schemas.openxmlformats.org/officeDocument/2006/relationships/hyperlink" Target="https://familysearch.org/search/collection/1852758" TargetMode="External"/><Relationship Id="rId2190" Type="http://schemas.openxmlformats.org/officeDocument/2006/relationships/hyperlink" Target="https://drive.google.com/file/d/1s2APrpQw-94wRn_2-M8RXZ9Bti1TEISx/view?usp=drive_link" TargetMode="External"/><Relationship Id="rId3034" Type="http://schemas.openxmlformats.org/officeDocument/2006/relationships/hyperlink" Target="http://familysearch.org/" TargetMode="External"/><Relationship Id="rId3241" Type="http://schemas.openxmlformats.org/officeDocument/2006/relationships/hyperlink" Target="https://www.familysearch.org/search/catalog/4092161" TargetMode="External"/><Relationship Id="rId162" Type="http://schemas.openxmlformats.org/officeDocument/2006/relationships/hyperlink" Target="https://catalog.archives.gov/search-within/2945911?availableOnline=true&amp;sort=naId%3Aasc" TargetMode="External"/><Relationship Id="rId2050" Type="http://schemas.openxmlformats.org/officeDocument/2006/relationships/hyperlink" Target="http://www.fold3.com/title_658/photos_vietnam_war_army/" TargetMode="External"/><Relationship Id="rId3101" Type="http://schemas.openxmlformats.org/officeDocument/2006/relationships/hyperlink" Target="https://search.ancestryinstitution.com/aird/search/db.aspx?dbid=60593" TargetMode="External"/><Relationship Id="rId979" Type="http://schemas.openxmlformats.org/officeDocument/2006/relationships/hyperlink" Target="https://search.ancestryinstitution.com/aird/search/db.aspx?dbid=9220" TargetMode="External"/><Relationship Id="rId839" Type="http://schemas.openxmlformats.org/officeDocument/2006/relationships/hyperlink" Target="https://search.ancestryinstitution.com/aird/search/db.aspx?dbid=60882" TargetMode="External"/><Relationship Id="rId1469" Type="http://schemas.openxmlformats.org/officeDocument/2006/relationships/hyperlink" Target="https://familysearch.org/search/collection/2427894" TargetMode="External"/><Relationship Id="rId2867" Type="http://schemas.openxmlformats.org/officeDocument/2006/relationships/hyperlink" Target="https://www.familysearch.org/search/catalog/3303033" TargetMode="External"/><Relationship Id="rId1676" Type="http://schemas.openxmlformats.org/officeDocument/2006/relationships/hyperlink" Target="https://search.ancestryinstitution.com/aird/search/db.aspx?dbid=8679" TargetMode="External"/><Relationship Id="rId1883" Type="http://schemas.openxmlformats.org/officeDocument/2006/relationships/hyperlink" Target="http://www.footnote.com/title_762/" TargetMode="External"/><Relationship Id="rId2727" Type="http://schemas.openxmlformats.org/officeDocument/2006/relationships/hyperlink" Target="https://catalog.archives.gov/search?q=*:*&amp;f.ancestorNaIds=4486683&amp;sort=naIdSort%20asc" TargetMode="External"/><Relationship Id="rId2934" Type="http://schemas.openxmlformats.org/officeDocument/2006/relationships/hyperlink" Target="https://www.familysearch.org/wiki/en/New_Hampshire_Taxation" TargetMode="External"/><Relationship Id="rId906" Type="http://schemas.openxmlformats.org/officeDocument/2006/relationships/hyperlink" Target="https://ancestry.com/" TargetMode="External"/><Relationship Id="rId1329" Type="http://schemas.openxmlformats.org/officeDocument/2006/relationships/hyperlink" Target="http://www.footnote.com/title_923/" TargetMode="External"/><Relationship Id="rId1536" Type="http://schemas.openxmlformats.org/officeDocument/2006/relationships/hyperlink" Target="http://www.footnote.com/title_59/" TargetMode="External"/><Relationship Id="rId1743" Type="http://schemas.openxmlformats.org/officeDocument/2006/relationships/hyperlink" Target="https://www.fold3.com/title/109/naturalizations-ca-san-diego" TargetMode="External"/><Relationship Id="rId1950" Type="http://schemas.openxmlformats.org/officeDocument/2006/relationships/hyperlink" Target="https://catalog.archives.gov/search?q=*:*&amp;f.ancestorNaIds=6203386&amp;sort=naIdSort%20asc" TargetMode="External"/><Relationship Id="rId35" Type="http://schemas.openxmlformats.org/officeDocument/2006/relationships/hyperlink" Target="https://search.ancestryinstitution.com/aird/search/db.aspx?dbid=9118" TargetMode="External"/><Relationship Id="rId1603" Type="http://schemas.openxmlformats.org/officeDocument/2006/relationships/hyperlink" Target="https://catalog.archives.gov/search?q=m1279&amp;f.ancestorNaIds=561929" TargetMode="External"/><Relationship Id="rId1810" Type="http://schemas.openxmlformats.org/officeDocument/2006/relationships/hyperlink" Target="https://search.ancestryinstitution.com/aird/search/db.aspx?dbid=1082" TargetMode="External"/><Relationship Id="rId489" Type="http://schemas.openxmlformats.org/officeDocument/2006/relationships/hyperlink" Target="https://catalog.archives.gov/search?q=*:*&amp;f.ancestorNaIds=4477885&amp;sort=naIdSort%20asc" TargetMode="External"/><Relationship Id="rId696" Type="http://schemas.openxmlformats.org/officeDocument/2006/relationships/hyperlink" Target="https://search.ancestryinstitution.com/aird/search/db.aspx?dbid=8842" TargetMode="External"/><Relationship Id="rId2377" Type="http://schemas.openxmlformats.org/officeDocument/2006/relationships/hyperlink" Target="https://catalog.archives.gov/search?q=*:*&amp;f.ancestorNaIds=1262792&amp;sort=naIdSort%20asc" TargetMode="External"/><Relationship Id="rId2584" Type="http://schemas.openxmlformats.org/officeDocument/2006/relationships/hyperlink" Target="https://familysearch.org/search/collection/2613134" TargetMode="External"/><Relationship Id="rId2791" Type="http://schemas.openxmlformats.org/officeDocument/2006/relationships/hyperlink" Target="https://search.ancestryinstitution.com/aird/search/db.aspx?dbid=2509" TargetMode="External"/><Relationship Id="rId349" Type="http://schemas.openxmlformats.org/officeDocument/2006/relationships/hyperlink" Target="http://www.footnote.com/title_851/" TargetMode="External"/><Relationship Id="rId556" Type="http://schemas.openxmlformats.org/officeDocument/2006/relationships/hyperlink" Target="https://search.ancestryinstitution.com/search/db.aspx?dbid=7484" TargetMode="External"/><Relationship Id="rId763" Type="http://schemas.openxmlformats.org/officeDocument/2006/relationships/hyperlink" Target="https://search.ancestryinstitution.com/aird/search/db.aspx?dbid=9127" TargetMode="External"/><Relationship Id="rId1186" Type="http://schemas.openxmlformats.org/officeDocument/2006/relationships/hyperlink" Target="https://familysearch.org/search/collection/1932371" TargetMode="External"/><Relationship Id="rId1393" Type="http://schemas.openxmlformats.org/officeDocument/2006/relationships/hyperlink" Target="https://search.ancestryinstitution.com/aird/search/db.aspx?dbid=1225" TargetMode="External"/><Relationship Id="rId2237" Type="http://schemas.openxmlformats.org/officeDocument/2006/relationships/hyperlink" Target="https://search.ancestryinstitution.com/aird/search/db.aspx?dbid=2123" TargetMode="External"/><Relationship Id="rId2444" Type="http://schemas.openxmlformats.org/officeDocument/2006/relationships/hyperlink" Target="https://www.fold3.com/title_816/wwii_draft_registration_cards" TargetMode="External"/><Relationship Id="rId209" Type="http://schemas.openxmlformats.org/officeDocument/2006/relationships/hyperlink" Target="https://familysearch.org/search/collection/2331267" TargetMode="External"/><Relationship Id="rId416" Type="http://schemas.openxmlformats.org/officeDocument/2006/relationships/hyperlink" Target="https://www.familysearch.org/search/collection/2120714" TargetMode="External"/><Relationship Id="rId970" Type="http://schemas.openxmlformats.org/officeDocument/2006/relationships/hyperlink" Target="https://catalog.archives.gov/search?q=A4039&amp;f.ancestorNaIds=3281790&amp;sort=naIdSort%20asc" TargetMode="External"/><Relationship Id="rId1046" Type="http://schemas.openxmlformats.org/officeDocument/2006/relationships/hyperlink" Target="https://catalog.archives.gov/search-within/3493126" TargetMode="External"/><Relationship Id="rId1253" Type="http://schemas.openxmlformats.org/officeDocument/2006/relationships/hyperlink" Target="https://search.ancestryinstitution.com/aird/search/db.aspx?dbid=2344" TargetMode="External"/><Relationship Id="rId2651" Type="http://schemas.openxmlformats.org/officeDocument/2006/relationships/hyperlink" Target="https://familysearch.org/search/collection/2191222" TargetMode="External"/><Relationship Id="rId623" Type="http://schemas.openxmlformats.org/officeDocument/2006/relationships/hyperlink" Target="https://catalog.archives.gov/search?q=A3553&amp;f.ancestorNaIds=3033312" TargetMode="External"/><Relationship Id="rId830" Type="http://schemas.openxmlformats.org/officeDocument/2006/relationships/hyperlink" Target="https://search.ancestryinstitution.com/aird/search/db.aspx?dbid=9220" TargetMode="External"/><Relationship Id="rId1460" Type="http://schemas.openxmlformats.org/officeDocument/2006/relationships/hyperlink" Target="https://search.ancestryinstitution.com/aird/search/db.aspx?dbid=1264" TargetMode="External"/><Relationship Id="rId2304" Type="http://schemas.openxmlformats.org/officeDocument/2006/relationships/hyperlink" Target="https://familysearch.org/search/collection/2173973" TargetMode="External"/><Relationship Id="rId2511" Type="http://schemas.openxmlformats.org/officeDocument/2006/relationships/hyperlink" Target="https://catalog.archives.gov/search?q=*:*&amp;f.ancestorNaIds=2524338&amp;sort=naIdSort%20asc" TargetMode="External"/><Relationship Id="rId1113" Type="http://schemas.openxmlformats.org/officeDocument/2006/relationships/hyperlink" Target="https://catalog.archives.gov/search?q=M162&amp;f.ancestorNaIds=1518851" TargetMode="External"/><Relationship Id="rId1320" Type="http://schemas.openxmlformats.org/officeDocument/2006/relationships/hyperlink" Target="https://catalog.archives.gov/search-within/654530?q=record.microformPublications.identifier%3AM551&amp;sort=title%3Aasc" TargetMode="External"/><Relationship Id="rId3078" Type="http://schemas.openxmlformats.org/officeDocument/2006/relationships/hyperlink" Target="https://catalog.archives.gov/search?q=*:*&amp;f.ancestorNaIds=6873553&amp;sort=titleSort%20asc" TargetMode="External"/><Relationship Id="rId3285" Type="http://schemas.openxmlformats.org/officeDocument/2006/relationships/hyperlink" Target="https://familysearch.org/search/collection/2110811" TargetMode="External"/><Relationship Id="rId2094" Type="http://schemas.openxmlformats.org/officeDocument/2006/relationships/hyperlink" Target="https://search.ancestryinstitution.com/aird/search/db.aspx?dbid=2509" TargetMode="External"/><Relationship Id="rId3145" Type="http://schemas.openxmlformats.org/officeDocument/2006/relationships/hyperlink" Target="http://www.fold3.com/title_765/" TargetMode="External"/><Relationship Id="rId3352" Type="http://schemas.openxmlformats.org/officeDocument/2006/relationships/hyperlink" Target="https://catalog.archives.gov/search?q=T939&amp;f.ancestorNaIds=4492828" TargetMode="External"/><Relationship Id="rId273" Type="http://schemas.openxmlformats.org/officeDocument/2006/relationships/hyperlink" Target="https://search.ancestryinstitution.com/aird/search/db.aspx?dbid=2502" TargetMode="External"/><Relationship Id="rId480" Type="http://schemas.openxmlformats.org/officeDocument/2006/relationships/hyperlink" Target="https://catalog.archives.gov/search?q=*:*&amp;f.ancestorNaIds=4492722&amp;sort=naIdSort%20asc" TargetMode="External"/><Relationship Id="rId2161" Type="http://schemas.openxmlformats.org/officeDocument/2006/relationships/hyperlink" Target="https://search.ancestryinstitution.com/aird/search/db.aspx?dbid=60614" TargetMode="External"/><Relationship Id="rId3005" Type="http://schemas.openxmlformats.org/officeDocument/2006/relationships/hyperlink" Target="https://familysearch.org/search/collection/2540918" TargetMode="External"/><Relationship Id="rId3212" Type="http://schemas.openxmlformats.org/officeDocument/2006/relationships/hyperlink" Target="https://catalog.archives.gov/search?q=*:*&amp;f.ancestorNaIds=75718064&amp;sort=naIdSort%20asc" TargetMode="External"/><Relationship Id="rId133" Type="http://schemas.openxmlformats.org/officeDocument/2006/relationships/hyperlink" Target="https://catalog.archives.gov/search-within/2789174?availableOnline=true&amp;sort=naId%3Aasc" TargetMode="External"/><Relationship Id="rId340" Type="http://schemas.openxmlformats.org/officeDocument/2006/relationships/hyperlink" Target="http://familysearch.org/" TargetMode="External"/><Relationship Id="rId2021" Type="http://schemas.openxmlformats.org/officeDocument/2006/relationships/hyperlink" Target="https://search.ancestryinstitution.com/aird/search/db.aspx?dbid=1992" TargetMode="External"/><Relationship Id="rId200" Type="http://schemas.openxmlformats.org/officeDocument/2006/relationships/hyperlink" Target="https://catalog.archives.gov/search-within/4449160" TargetMode="External"/><Relationship Id="rId2978" Type="http://schemas.openxmlformats.org/officeDocument/2006/relationships/hyperlink" Target="https://catalog.archives.gov/search?q=*:*&amp;f.ancestorNaIds=5716656&amp;sort=naIdSort%20asc" TargetMode="External"/><Relationship Id="rId1787" Type="http://schemas.openxmlformats.org/officeDocument/2006/relationships/hyperlink" Target="https://familysearch.org/search/collection/1840493" TargetMode="External"/><Relationship Id="rId1994" Type="http://schemas.openxmlformats.org/officeDocument/2006/relationships/hyperlink" Target="https://search.ancestryinstitution.com/aird/search/db.aspx?dbid=2137" TargetMode="External"/><Relationship Id="rId2838" Type="http://schemas.openxmlformats.org/officeDocument/2006/relationships/hyperlink" Target="https://catalog.archives.gov/search-within/4661996" TargetMode="External"/><Relationship Id="rId79" Type="http://schemas.openxmlformats.org/officeDocument/2006/relationships/hyperlink" Target="https://catalog.archives.gov/search-within/2790643?availableOnline=true&amp;sort=naId%3Aasc" TargetMode="External"/><Relationship Id="rId1647" Type="http://schemas.openxmlformats.org/officeDocument/2006/relationships/hyperlink" Target="https://search.ancestryinstitution.com/aird/search/db.aspx?dbid=7949" TargetMode="External"/><Relationship Id="rId1854" Type="http://schemas.openxmlformats.org/officeDocument/2006/relationships/hyperlink" Target="https://www.fold3.com/title/54/civil-war-service-records-cmsr-union-nevada" TargetMode="External"/><Relationship Id="rId2905" Type="http://schemas.openxmlformats.org/officeDocument/2006/relationships/hyperlink" Target="https://catalog.archives.gov/search?q=*:*&amp;f.ancestorNaIds=4706896&amp;sort=titleSort%20asc" TargetMode="External"/><Relationship Id="rId1507" Type="http://schemas.openxmlformats.org/officeDocument/2006/relationships/hyperlink" Target="https://search.ancestryinstitution.com/aird/search/db.aspx?dbid=2400" TargetMode="External"/><Relationship Id="rId1714" Type="http://schemas.openxmlformats.org/officeDocument/2006/relationships/hyperlink" Target="https://search.ancestryinstitution.com/aird/search/db.aspx?dbid=1629" TargetMode="External"/><Relationship Id="rId1921" Type="http://schemas.openxmlformats.org/officeDocument/2006/relationships/hyperlink" Target="https://catalog.archives.gov/search?q=m1882&amp;f.recordGroupNoCollectionId=29&amp;f.oldScope=online" TargetMode="External"/><Relationship Id="rId2488" Type="http://schemas.openxmlformats.org/officeDocument/2006/relationships/hyperlink" Target="https://search.ancestryinstitution.com/aird/search/db.aspx?dbid=2500" TargetMode="External"/><Relationship Id="rId1297" Type="http://schemas.openxmlformats.org/officeDocument/2006/relationships/hyperlink" Target="http://www.footnote.com/title_850/" TargetMode="External"/><Relationship Id="rId2695" Type="http://schemas.openxmlformats.org/officeDocument/2006/relationships/hyperlink" Target="https://familysearch.org/search/collection/2187007" TargetMode="External"/><Relationship Id="rId667" Type="http://schemas.openxmlformats.org/officeDocument/2006/relationships/hyperlink" Target="https://catalog.archives.gov/search?q=A3597&amp;f.ancestorNaIds=2805905&amp;sort=naIdSort%20asc" TargetMode="External"/><Relationship Id="rId874" Type="http://schemas.openxmlformats.org/officeDocument/2006/relationships/hyperlink" Target="https://catalog.archives.gov/search?q=A3920&amp;f.ancestorNaIds=3039655" TargetMode="External"/><Relationship Id="rId2348" Type="http://schemas.openxmlformats.org/officeDocument/2006/relationships/hyperlink" Target="https://search.ancestryinstitution.com/aird/search/db.aspx?dbid=1174" TargetMode="External"/><Relationship Id="rId2555" Type="http://schemas.openxmlformats.org/officeDocument/2006/relationships/hyperlink" Target="https://search.ancestryinstitution.com/aird/search/db.aspx?dbid=2503" TargetMode="External"/><Relationship Id="rId2762" Type="http://schemas.openxmlformats.org/officeDocument/2006/relationships/hyperlink" Target="https://search.ancestryinstitution.com/aird/search/db.aspx?dbid=2507" TargetMode="External"/><Relationship Id="rId527" Type="http://schemas.openxmlformats.org/officeDocument/2006/relationships/hyperlink" Target="https://catalog.archives.gov/search?q=A3467&amp;f.ancestorNaIds=4644669" TargetMode="External"/><Relationship Id="rId734" Type="http://schemas.openxmlformats.org/officeDocument/2006/relationships/hyperlink" Target="https://catalog.archives.gov/search?q=A3671&amp;f.ancestorNaIds=2924318&amp;sort=naIdSort%20asc" TargetMode="External"/><Relationship Id="rId941" Type="http://schemas.openxmlformats.org/officeDocument/2006/relationships/hyperlink" Target="https://search.ancestryinstitution.com/aird/search/db.aspx?dbid=8842" TargetMode="External"/><Relationship Id="rId1157" Type="http://schemas.openxmlformats.org/officeDocument/2006/relationships/hyperlink" Target="https://www.fold3.com/title/36/civil-war-service-records-cmsr-confederate-mississippi" TargetMode="External"/><Relationship Id="rId1364" Type="http://schemas.openxmlformats.org/officeDocument/2006/relationships/hyperlink" Target="https://catalog.archives.gov/search?q=M636&amp;f.ancestorNaIds=654530" TargetMode="External"/><Relationship Id="rId1571" Type="http://schemas.openxmlformats.org/officeDocument/2006/relationships/hyperlink" Target="https://catalog.archives.gov/search?q=*:*&amp;f.ancestorNaIds=71962618&amp;sort=naIdSort%20asc" TargetMode="External"/><Relationship Id="rId2208" Type="http://schemas.openxmlformats.org/officeDocument/2006/relationships/hyperlink" Target="https://search.ancestryinstitution.com/aird/search/db.aspx?dbid=2506" TargetMode="External"/><Relationship Id="rId2415" Type="http://schemas.openxmlformats.org/officeDocument/2006/relationships/hyperlink" Target="https://search.ancestryinstitution.com/aird/search/db.aspx?dbid=1850" TargetMode="External"/><Relationship Id="rId2622" Type="http://schemas.openxmlformats.org/officeDocument/2006/relationships/hyperlink" Target="https://catalog.archives.gov/search-within/2867714" TargetMode="External"/><Relationship Id="rId70" Type="http://schemas.openxmlformats.org/officeDocument/2006/relationships/hyperlink" Target="https://search.ancestryinstitution.com/aird/search/db.aspx?dbid=9215" TargetMode="External"/><Relationship Id="rId801" Type="http://schemas.openxmlformats.org/officeDocument/2006/relationships/hyperlink" Target="https://catalog.archives.gov/search?q=A3791&amp;f.ancestorNaIds=2843359&amp;sort=naIdSort%20asc" TargetMode="External"/><Relationship Id="rId1017" Type="http://schemas.openxmlformats.org/officeDocument/2006/relationships/hyperlink" Target="https://catalog.archives.gov/search?q=A4101&amp;f.ancestorNaIds=3431529&amp;sort=naIdSort%20asc" TargetMode="External"/><Relationship Id="rId1224" Type="http://schemas.openxmlformats.org/officeDocument/2006/relationships/hyperlink" Target="https://catalog.archives.gov/search?q=M382&amp;f.ancestorNaIds=595144" TargetMode="External"/><Relationship Id="rId1431" Type="http://schemas.openxmlformats.org/officeDocument/2006/relationships/hyperlink" Target="https://search.ancestryinstitution.com/aird/search/db.aspx?dbid=1264" TargetMode="External"/><Relationship Id="rId3189" Type="http://schemas.openxmlformats.org/officeDocument/2006/relationships/hyperlink" Target="http://www.footnote.com/title_650/" TargetMode="External"/><Relationship Id="rId3049" Type="http://schemas.openxmlformats.org/officeDocument/2006/relationships/hyperlink" Target="https://catalog.archives.gov/search-within/6160475" TargetMode="External"/><Relationship Id="rId3256" Type="http://schemas.openxmlformats.org/officeDocument/2006/relationships/hyperlink" Target="https://search.ancestryinstitution.com/aird/search/db.aspx?dbid=3999" TargetMode="External"/><Relationship Id="rId177" Type="http://schemas.openxmlformats.org/officeDocument/2006/relationships/hyperlink" Target="https://ancestry.com/" TargetMode="External"/><Relationship Id="rId384" Type="http://schemas.openxmlformats.org/officeDocument/2006/relationships/hyperlink" Target="https://search.ancestryinstitution.com/search/db.aspx?dbid=7949" TargetMode="External"/><Relationship Id="rId591" Type="http://schemas.openxmlformats.org/officeDocument/2006/relationships/hyperlink" Target="https://catalog.archives.gov/search?q=*:*&amp;f.ancestorNaIds=2789103&amp;sort=naIdSort%20asc" TargetMode="External"/><Relationship Id="rId2065" Type="http://schemas.openxmlformats.org/officeDocument/2006/relationships/hyperlink" Target="https://search.ancestryinstitution.com/aird/search/db.aspx?dbid=1002" TargetMode="External"/><Relationship Id="rId2272" Type="http://schemas.openxmlformats.org/officeDocument/2006/relationships/hyperlink" Target="https://www.familysearch.org/search/catalog/2842203" TargetMode="External"/><Relationship Id="rId3116" Type="http://schemas.openxmlformats.org/officeDocument/2006/relationships/hyperlink" Target="http://familysearch.org/" TargetMode="External"/><Relationship Id="rId244" Type="http://schemas.openxmlformats.org/officeDocument/2006/relationships/hyperlink" Target="https://catalog.archives.gov/search?q=*:*&amp;f.ancestorNaIds=641528&amp;sort=naIdSort%20asc" TargetMode="External"/><Relationship Id="rId1081" Type="http://schemas.openxmlformats.org/officeDocument/2006/relationships/hyperlink" Target="https://search.ancestryinstitution.com/aird/search/db.aspx?dbid=2257" TargetMode="External"/><Relationship Id="rId3323" Type="http://schemas.openxmlformats.org/officeDocument/2006/relationships/hyperlink" Target="https://familysearch.org/search/collection/1471019" TargetMode="External"/><Relationship Id="rId451" Type="http://schemas.openxmlformats.org/officeDocument/2006/relationships/hyperlink" Target="https://www.familysearch.org/search/collection/2141044" TargetMode="External"/><Relationship Id="rId2132" Type="http://schemas.openxmlformats.org/officeDocument/2006/relationships/hyperlink" Target="https://search.ancestryinstitution.com/aird/search/db.aspx?dbid=2509" TargetMode="External"/><Relationship Id="rId104" Type="http://schemas.openxmlformats.org/officeDocument/2006/relationships/hyperlink" Target="https://catalog.archives.gov/search-within/2990039?availableOnline=true&amp;sort=naId%3Aasc" TargetMode="External"/><Relationship Id="rId311" Type="http://schemas.openxmlformats.org/officeDocument/2006/relationships/hyperlink" Target="https://catalog.archives.gov/search?q=*:*&amp;f.ancestorNaIds=24485762" TargetMode="External"/><Relationship Id="rId1898" Type="http://schemas.openxmlformats.org/officeDocument/2006/relationships/hyperlink" Target="https://catalog.archives.gov/search?q=*:*&amp;f.ancestorNaIds=12011224&amp;sort=naIdSort%20asc" TargetMode="External"/><Relationship Id="rId2949" Type="http://schemas.openxmlformats.org/officeDocument/2006/relationships/hyperlink" Target="https://search.ancestryinstitution.com/aird/search/db.aspx?dbid=2501" TargetMode="External"/><Relationship Id="rId1758" Type="http://schemas.openxmlformats.org/officeDocument/2006/relationships/hyperlink" Target="https://familysearch.org/search/collection/1908383" TargetMode="External"/><Relationship Id="rId2809" Type="http://schemas.openxmlformats.org/officeDocument/2006/relationships/hyperlink" Target="https://search.ancestryinstitution.com/aird/search/db.aspx?dbid=2512" TargetMode="External"/><Relationship Id="rId1965" Type="http://schemas.openxmlformats.org/officeDocument/2006/relationships/hyperlink" Target="https://familysearch.org/search/collection/1858291" TargetMode="External"/><Relationship Id="rId3180" Type="http://schemas.openxmlformats.org/officeDocument/2006/relationships/hyperlink" Target="https://catalog.archives.gov/search?q=*:*&amp;f.ancestorNaIds=7820274&amp;sort=naIdSort%20asc" TargetMode="External"/><Relationship Id="rId1618" Type="http://schemas.openxmlformats.org/officeDocument/2006/relationships/hyperlink" Target="https://search.ancestryinstitution.com/aird/search/db.aspx?dbid=2403" TargetMode="External"/><Relationship Id="rId1825" Type="http://schemas.openxmlformats.org/officeDocument/2006/relationships/hyperlink" Target="https://search.ancestryinstitution.com/aird/search/db.aspx?dbid=1082" TargetMode="External"/><Relationship Id="rId3040" Type="http://schemas.openxmlformats.org/officeDocument/2006/relationships/hyperlink" Target="https://search.ancestryinstitution.com/aird/search/db.aspx?dbid=2502" TargetMode="External"/><Relationship Id="rId2599" Type="http://schemas.openxmlformats.org/officeDocument/2006/relationships/hyperlink" Target="https://catalog.archives.gov/search?q=*:*&amp;f.ancestorNaIds=2790537&amp;sort=naIdSort%20asc" TargetMode="External"/><Relationship Id="rId778" Type="http://schemas.openxmlformats.org/officeDocument/2006/relationships/hyperlink" Target="https://search.ancestryinstitution.com/aird/search/db.aspx?dbid=9270" TargetMode="External"/><Relationship Id="rId985" Type="http://schemas.openxmlformats.org/officeDocument/2006/relationships/hyperlink" Target="https://ancestry.com/" TargetMode="External"/><Relationship Id="rId2459" Type="http://schemas.openxmlformats.org/officeDocument/2006/relationships/hyperlink" Target="https://search.ancestryinstitution.com/aird/search/db.aspx?dbid=2504" TargetMode="External"/><Relationship Id="rId2666" Type="http://schemas.openxmlformats.org/officeDocument/2006/relationships/hyperlink" Target="https://search.ancestryinstitution.com/aird/search/db.aspx?dbid=2500" TargetMode="External"/><Relationship Id="rId2873" Type="http://schemas.openxmlformats.org/officeDocument/2006/relationships/hyperlink" Target="https://search.ancestryinstitution.com/aird/search/db.aspx?dbid=2507" TargetMode="External"/><Relationship Id="rId638" Type="http://schemas.openxmlformats.org/officeDocument/2006/relationships/hyperlink" Target="https://catalog.archives.gov/search?q=*:*&amp;f.ancestorNaIds=2252774&amp;sort=naIdSort%20asc" TargetMode="External"/><Relationship Id="rId845" Type="http://schemas.openxmlformats.org/officeDocument/2006/relationships/hyperlink" Target="https://catalog.archives.gov/search?q=A3856&amp;f.ancestorNaIds=2788734&amp;sort=naIdSort%20asc" TargetMode="External"/><Relationship Id="rId1268" Type="http://schemas.openxmlformats.org/officeDocument/2006/relationships/hyperlink" Target="https://search.ancestryinstitution.com/aird/search/db.aspx?dbid=2344" TargetMode="External"/><Relationship Id="rId1475" Type="http://schemas.openxmlformats.org/officeDocument/2006/relationships/hyperlink" Target="https://familysearch.org/search/collection/2427894" TargetMode="External"/><Relationship Id="rId1682" Type="http://schemas.openxmlformats.org/officeDocument/2006/relationships/hyperlink" Target="https://search.ancestryinstitution.com/aird/search/db.aspx?dbid=1075" TargetMode="External"/><Relationship Id="rId2319" Type="http://schemas.openxmlformats.org/officeDocument/2006/relationships/hyperlink" Target="https://catalog.archives.gov/search?q=*:*&amp;f.ancestorNaIds=1146000&amp;sort=naIdSort%20asc" TargetMode="External"/><Relationship Id="rId2526" Type="http://schemas.openxmlformats.org/officeDocument/2006/relationships/hyperlink" Target="https://search.ancestryinstitution.com/search/db.aspx?dbid=1664" TargetMode="External"/><Relationship Id="rId2733" Type="http://schemas.openxmlformats.org/officeDocument/2006/relationships/hyperlink" Target="https://search.ancestryinstitution.com/aird/search/db.aspx?dbid=2508" TargetMode="External"/><Relationship Id="rId705" Type="http://schemas.openxmlformats.org/officeDocument/2006/relationships/hyperlink" Target="https://search.ancestryinstitution.com/aird/search/db.aspx?dbid=9220" TargetMode="External"/><Relationship Id="rId1128" Type="http://schemas.openxmlformats.org/officeDocument/2006/relationships/hyperlink" Target="https://familysearch.org/search/collection/1932369" TargetMode="External"/><Relationship Id="rId1335" Type="http://schemas.openxmlformats.org/officeDocument/2006/relationships/hyperlink" Target="https://catalog.archives.gov/search?q=*:*&amp;f.ancestorNaIds=1078738" TargetMode="External"/><Relationship Id="rId1542" Type="http://schemas.openxmlformats.org/officeDocument/2006/relationships/hyperlink" Target="https://familysearch.org/search/collection/2427901" TargetMode="External"/><Relationship Id="rId2940" Type="http://schemas.openxmlformats.org/officeDocument/2006/relationships/hyperlink" Target="https://catalog.archives.gov/search-within/5634910" TargetMode="External"/><Relationship Id="rId912" Type="http://schemas.openxmlformats.org/officeDocument/2006/relationships/hyperlink" Target="https://search.ancestryinstitution.com/aird/search/db.aspx?dbid=9127" TargetMode="External"/><Relationship Id="rId2800" Type="http://schemas.openxmlformats.org/officeDocument/2006/relationships/hyperlink" Target="https://search.ancestryinstitution.com/aird/search/db.aspx?dbid=2512" TargetMode="External"/><Relationship Id="rId41" Type="http://schemas.openxmlformats.org/officeDocument/2006/relationships/hyperlink" Target="https://catalog.archives.gov/search-within/2769070?availableOnline=true&amp;sort=naId%3Aasc" TargetMode="External"/><Relationship Id="rId1402" Type="http://schemas.openxmlformats.org/officeDocument/2006/relationships/hyperlink" Target="https://familysearch.org/search/collection/2075263" TargetMode="External"/><Relationship Id="rId288" Type="http://schemas.openxmlformats.org/officeDocument/2006/relationships/hyperlink" Target="https://catalog.archives.gov/search?q=*:*&amp;f.ancestorNaIds=3370907" TargetMode="External"/><Relationship Id="rId3367" Type="http://schemas.openxmlformats.org/officeDocument/2006/relationships/hyperlink" Target="https://catalog.archives.gov/search?q=*:*&amp;f.ancestorNaIds=1476161&amp;sort=naIdSort%20asc" TargetMode="External"/><Relationship Id="rId495" Type="http://schemas.openxmlformats.org/officeDocument/2006/relationships/hyperlink" Target="https://search.ancestryinstitution.com/aird/search/db.aspx?dbid=1277" TargetMode="External"/><Relationship Id="rId2176" Type="http://schemas.openxmlformats.org/officeDocument/2006/relationships/hyperlink" Target="http://www.fold3.com/title_654" TargetMode="External"/><Relationship Id="rId2383" Type="http://schemas.openxmlformats.org/officeDocument/2006/relationships/hyperlink" Target="https://search.ancestryinstitution.com/aird/search/db.aspx?dbid=2501" TargetMode="External"/><Relationship Id="rId2590" Type="http://schemas.openxmlformats.org/officeDocument/2006/relationships/hyperlink" Target="https://catalog.archives.gov/search?q=*:*&amp;f.ancestorNaIds=2745846&amp;sort=naIdSort%20asc" TargetMode="External"/><Relationship Id="rId3227" Type="http://schemas.openxmlformats.org/officeDocument/2006/relationships/hyperlink" Target="https://www.familysearch.org/search/catalog/3029446" TargetMode="External"/><Relationship Id="rId148" Type="http://schemas.openxmlformats.org/officeDocument/2006/relationships/hyperlink" Target="https://search.ancestryinstitution.com/aird/search/db.aspx?dbid=1042" TargetMode="External"/><Relationship Id="rId355" Type="http://schemas.openxmlformats.org/officeDocument/2006/relationships/hyperlink" Target="https://www.familysearch.org/search/collection/2442743" TargetMode="External"/><Relationship Id="rId562" Type="http://schemas.openxmlformats.org/officeDocument/2006/relationships/hyperlink" Target="https://catalog.archives.gov/search?q=A3492&amp;f.ancestorNaIds=2843448" TargetMode="External"/><Relationship Id="rId1192" Type="http://schemas.openxmlformats.org/officeDocument/2006/relationships/hyperlink" Target="https://familysearch.org/search/collection/1932373" TargetMode="External"/><Relationship Id="rId2036" Type="http://schemas.openxmlformats.org/officeDocument/2006/relationships/hyperlink" Target="https://search.ancestryinstitution.com/aird/search/db.aspx?dbid=2500" TargetMode="External"/><Relationship Id="rId2243" Type="http://schemas.openxmlformats.org/officeDocument/2006/relationships/hyperlink" Target="https://familysearch.org/search/collection/2285702" TargetMode="External"/><Relationship Id="rId2450" Type="http://schemas.openxmlformats.org/officeDocument/2006/relationships/hyperlink" Target="https://catalog.archives.gov/search?q=*:*&amp;f.ancestorNaIds=2173193&amp;sort=naIdSort%20asc" TargetMode="External"/><Relationship Id="rId215" Type="http://schemas.openxmlformats.org/officeDocument/2006/relationships/hyperlink" Target="https://search.ancestryinstitution.com/aird/search/db.aspx?dbid=8758" TargetMode="External"/><Relationship Id="rId422" Type="http://schemas.openxmlformats.org/officeDocument/2006/relationships/hyperlink" Target="https://www.familysearch.org/search/collection/2427230" TargetMode="External"/><Relationship Id="rId1052" Type="http://schemas.openxmlformats.org/officeDocument/2006/relationships/hyperlink" Target="https://search.ancestryinstitution.com/aird/search/db.aspx?dbid=9220" TargetMode="External"/><Relationship Id="rId2103" Type="http://schemas.openxmlformats.org/officeDocument/2006/relationships/hyperlink" Target="https://search.ancestryinstitution.com/aird/search/db.aspx?dbid=2498" TargetMode="External"/><Relationship Id="rId2310" Type="http://schemas.openxmlformats.org/officeDocument/2006/relationships/hyperlink" Target="https://familysearch.org/search/collection/2173973" TargetMode="External"/><Relationship Id="rId1869" Type="http://schemas.openxmlformats.org/officeDocument/2006/relationships/hyperlink" Target="https://search.ancestry.com/search/db.aspx?dbid=1107" TargetMode="External"/><Relationship Id="rId3084" Type="http://schemas.openxmlformats.org/officeDocument/2006/relationships/hyperlink" Target="https://catalog.archives.gov/search?q=*:*&amp;f.ancestorNaIds=7226555&amp;sort=naIdSort%20asc" TargetMode="External"/><Relationship Id="rId3291" Type="http://schemas.openxmlformats.org/officeDocument/2006/relationships/hyperlink" Target="https://familysearch.org/search/collection/2127918" TargetMode="External"/><Relationship Id="rId1729" Type="http://schemas.openxmlformats.org/officeDocument/2006/relationships/hyperlink" Target="https://catalog.archives.gov/search?q=*:*&amp;f.ancestorNaIds=5634058&amp;sort=naIdSort%20asc" TargetMode="External"/><Relationship Id="rId1936" Type="http://schemas.openxmlformats.org/officeDocument/2006/relationships/hyperlink" Target="https://catalog.archives.gov/search?q=*:*&amp;f.ancestorNaIds=2570648&amp;sort=naIdSort%20asc" TargetMode="External"/><Relationship Id="rId3151" Type="http://schemas.openxmlformats.org/officeDocument/2006/relationships/hyperlink" Target="https://www.fold3.com/title_816/wwii_draft_registration_cards" TargetMode="External"/><Relationship Id="rId3011" Type="http://schemas.openxmlformats.org/officeDocument/2006/relationships/hyperlink" Target="https://catalog.archives.gov/search?q=*:*&amp;f.ancestorNaIds=5833903&amp;sort=naIdSort%20asc" TargetMode="External"/><Relationship Id="rId5" Type="http://schemas.openxmlformats.org/officeDocument/2006/relationships/hyperlink" Target="https://catalog.archives.gov/search-within/2945950?availableOnline=true&amp;sort=naId%3Aasc" TargetMode="External"/><Relationship Id="rId889" Type="http://schemas.openxmlformats.org/officeDocument/2006/relationships/hyperlink" Target="https://ancestry.com/" TargetMode="External"/><Relationship Id="rId2777" Type="http://schemas.openxmlformats.org/officeDocument/2006/relationships/hyperlink" Target="https://search.ancestryinstitution.com/aird/search/db.aspx?dbid=2509" TargetMode="External"/><Relationship Id="rId749" Type="http://schemas.openxmlformats.org/officeDocument/2006/relationships/hyperlink" Target="https://search.ancestryinstitution.com/aird/search/db.aspx?dbid=9220" TargetMode="External"/><Relationship Id="rId1379" Type="http://schemas.openxmlformats.org/officeDocument/2006/relationships/hyperlink" Target="http://www.fold3.com/title_766/" TargetMode="External"/><Relationship Id="rId1586" Type="http://schemas.openxmlformats.org/officeDocument/2006/relationships/hyperlink" Target="https://search.ancestryinstitution.com/aird/search/db.aspx?dbid=1173" TargetMode="External"/><Relationship Id="rId2984" Type="http://schemas.openxmlformats.org/officeDocument/2006/relationships/hyperlink" Target="https://catalog.archives.gov/search-within/5717212" TargetMode="External"/><Relationship Id="rId609" Type="http://schemas.openxmlformats.org/officeDocument/2006/relationships/hyperlink" Target="https://catalog.archives.gov/search?q=A3536&amp;f.ancestorNaIds=3681966&amp;sort=naIdSort%20asc" TargetMode="External"/><Relationship Id="rId956" Type="http://schemas.openxmlformats.org/officeDocument/2006/relationships/hyperlink" Target="https://catalog.archives.gov/search?q=*:*&amp;f.ancestorNaIds=2827724&amp;sort=naIdSort%20asc" TargetMode="External"/><Relationship Id="rId1239" Type="http://schemas.openxmlformats.org/officeDocument/2006/relationships/hyperlink" Target="https://familysearch.org/search/collection/1932399" TargetMode="External"/><Relationship Id="rId1793" Type="http://schemas.openxmlformats.org/officeDocument/2006/relationships/hyperlink" Target="https://www.fold3.com/title/105/naturalization-index-ny-western" TargetMode="External"/><Relationship Id="rId2637" Type="http://schemas.openxmlformats.org/officeDocument/2006/relationships/hyperlink" Target="https://www.familysearch.org/search/catalog/results?count=20&amp;query=%2Bkeywords%3A3325372%20%2Bkeywords%3ANational%20%2Bkeywords%3AArchives" TargetMode="External"/><Relationship Id="rId2844" Type="http://schemas.openxmlformats.org/officeDocument/2006/relationships/hyperlink" Target="https://familysearch.org/search/collection/2515876" TargetMode="External"/><Relationship Id="rId85" Type="http://schemas.openxmlformats.org/officeDocument/2006/relationships/hyperlink" Target="https://catalog.archives.gov/search-within/2839068?availableOnline=true&amp;sort=naId%3Aasc" TargetMode="External"/><Relationship Id="rId816" Type="http://schemas.openxmlformats.org/officeDocument/2006/relationships/hyperlink" Target="https://search.ancestryinstitution.com/aird/search/db.aspx?dbid=9220" TargetMode="External"/><Relationship Id="rId1446" Type="http://schemas.openxmlformats.org/officeDocument/2006/relationships/hyperlink" Target="https://familysearch.org/search/collection/2075263" TargetMode="External"/><Relationship Id="rId1653" Type="http://schemas.openxmlformats.org/officeDocument/2006/relationships/hyperlink" Target="https://catalog.archives.gov/search?q=M1413&amp;f.ancestorNaIds=4481615&amp;sort=naIdSort%20asc" TargetMode="External"/><Relationship Id="rId1860" Type="http://schemas.openxmlformats.org/officeDocument/2006/relationships/hyperlink" Target="http://www.fold3.com/title_698/civil_war_soldiers_union_colored_troops/" TargetMode="External"/><Relationship Id="rId2704" Type="http://schemas.openxmlformats.org/officeDocument/2006/relationships/hyperlink" Target="https://search.ancestryinstitution.com/aird/search/db.aspx?dbid=2500" TargetMode="External"/><Relationship Id="rId2911" Type="http://schemas.openxmlformats.org/officeDocument/2006/relationships/hyperlink" Target="http://familysearch.org/" TargetMode="External"/><Relationship Id="rId1306" Type="http://schemas.openxmlformats.org/officeDocument/2006/relationships/hyperlink" Target="https://catalog.archives.gov/search-within/654530?q=record.microformPublications.identifier%3AM542&amp;sort=title%3Aasc" TargetMode="External"/><Relationship Id="rId1513" Type="http://schemas.openxmlformats.org/officeDocument/2006/relationships/hyperlink" Target="https://search.ancestryinstitution.com/aird/search/db.aspx?dbid=1309" TargetMode="External"/><Relationship Id="rId1720" Type="http://schemas.openxmlformats.org/officeDocument/2006/relationships/hyperlink" Target="https://search.ancestryinstitution.com/aird/search/db.aspx?dbid=1554" TargetMode="External"/><Relationship Id="rId12" Type="http://schemas.openxmlformats.org/officeDocument/2006/relationships/hyperlink" Target="https://search.ancestryinstitution.com/aird/search/db.aspx?dbid=7949" TargetMode="External"/><Relationship Id="rId399" Type="http://schemas.openxmlformats.org/officeDocument/2006/relationships/hyperlink" Target="https://search.ancestryinstitution.com/search/db.aspx?dbid=1082" TargetMode="External"/><Relationship Id="rId2287" Type="http://schemas.openxmlformats.org/officeDocument/2006/relationships/hyperlink" Target="https://search.ancestryinstitution.com/aird/search/db.aspx?dbid=1002" TargetMode="External"/><Relationship Id="rId2494" Type="http://schemas.openxmlformats.org/officeDocument/2006/relationships/hyperlink" Target="https://search.ancestryinstitution.com/aird/search/db.aspx?dbid=2503" TargetMode="External"/><Relationship Id="rId3338" Type="http://schemas.openxmlformats.org/officeDocument/2006/relationships/hyperlink" Target="https://search.ancestryinstitution.com/aird/search/db.aspx?dbid=6061" TargetMode="External"/><Relationship Id="rId259" Type="http://schemas.openxmlformats.org/officeDocument/2006/relationships/hyperlink" Target="https://search.ancestryinstitution.com/aird/search/db.aspx?dbid=1616" TargetMode="External"/><Relationship Id="rId466" Type="http://schemas.openxmlformats.org/officeDocument/2006/relationships/hyperlink" Target="https://catalog.archives.gov/search?q=*:*&amp;f.ancestorNaIds=4499068&amp;sort=naIdSort%20asc" TargetMode="External"/><Relationship Id="rId673" Type="http://schemas.openxmlformats.org/officeDocument/2006/relationships/hyperlink" Target="https://catalog.archives.gov/search?q=A3602&amp;f.ancestorNaIds=2668810" TargetMode="External"/><Relationship Id="rId880" Type="http://schemas.openxmlformats.org/officeDocument/2006/relationships/hyperlink" Target="https://search.ancestryinstitution.com/aird/search/db.aspx?dbid=8722" TargetMode="External"/><Relationship Id="rId1096" Type="http://schemas.openxmlformats.org/officeDocument/2006/relationships/hyperlink" Target="http://www.fold3.com/title_839/" TargetMode="External"/><Relationship Id="rId2147" Type="http://schemas.openxmlformats.org/officeDocument/2006/relationships/hyperlink" Target="https://search.ancestryinstitution.com/aird/search/db.aspx?dbid=60425" TargetMode="External"/><Relationship Id="rId2354" Type="http://schemas.openxmlformats.org/officeDocument/2006/relationships/hyperlink" Target="https://search.ancestryinstitution.com/aird/search/db.aspx?dbid=1174" TargetMode="External"/><Relationship Id="rId2561" Type="http://schemas.openxmlformats.org/officeDocument/2006/relationships/hyperlink" Target="https://www.fold3.com/title_816/wwii_draft_registration_cards" TargetMode="External"/><Relationship Id="rId119" Type="http://schemas.openxmlformats.org/officeDocument/2006/relationships/hyperlink" Target="https://catalog.archives.gov/search-within/2838437?availableOnline=true&amp;sort=naId%3Aasc" TargetMode="External"/><Relationship Id="rId326" Type="http://schemas.openxmlformats.org/officeDocument/2006/relationships/hyperlink" Target="http://familysearch.org/" TargetMode="External"/><Relationship Id="rId533" Type="http://schemas.openxmlformats.org/officeDocument/2006/relationships/hyperlink" Target="https://catalog.archives.gov/search?q=*:*&amp;f.ancestorNaIds=3902175&amp;sort=naIdSort%20asc" TargetMode="External"/><Relationship Id="rId1163" Type="http://schemas.openxmlformats.org/officeDocument/2006/relationships/hyperlink" Target="https://search.ancestryinstitution.com/aird/search/db.aspx?dbid=2860" TargetMode="External"/><Relationship Id="rId1370" Type="http://schemas.openxmlformats.org/officeDocument/2006/relationships/hyperlink" Target="https://search.ancestryinstitution.com/aird/search/db.aspx?dbid=7667" TargetMode="External"/><Relationship Id="rId2007" Type="http://schemas.openxmlformats.org/officeDocument/2006/relationships/hyperlink" Target="https://familysearch.org/search/collection/2333780" TargetMode="External"/><Relationship Id="rId2214" Type="http://schemas.openxmlformats.org/officeDocument/2006/relationships/hyperlink" Target="https://search.ancestryinstitution.com/aird/search/db.aspx?dbid=2507" TargetMode="External"/><Relationship Id="rId740" Type="http://schemas.openxmlformats.org/officeDocument/2006/relationships/hyperlink" Target="https://catalog.archives.gov/search?q=A3681&amp;f.ancestorNaIds=2848355&amp;sort=naIdSort%20asc" TargetMode="External"/><Relationship Id="rId1023" Type="http://schemas.openxmlformats.org/officeDocument/2006/relationships/hyperlink" Target="https://catalog.archives.gov/search?q=A4112&amp;f.ancestorNaIds=2990238&amp;sort=naIdSort%20asc" TargetMode="External"/><Relationship Id="rId2421" Type="http://schemas.openxmlformats.org/officeDocument/2006/relationships/hyperlink" Target="https://search.ancestryinstitution.com/aird/search/db.aspx?dbid=1850" TargetMode="External"/><Relationship Id="rId600" Type="http://schemas.openxmlformats.org/officeDocument/2006/relationships/hyperlink" Target="https://search.ancestryinstitution.com/aird/search/db.aspx?dbid=9220" TargetMode="External"/><Relationship Id="rId1230" Type="http://schemas.openxmlformats.org/officeDocument/2006/relationships/hyperlink" Target="https://catalog.archives.gov/search-within/654530?q=record.microformPublications.identifier%3AM390&amp;sort=title%3Aasc" TargetMode="External"/><Relationship Id="rId3195" Type="http://schemas.openxmlformats.org/officeDocument/2006/relationships/hyperlink" Target="http://www.footnote.com/title_650/" TargetMode="External"/><Relationship Id="rId3055" Type="http://schemas.openxmlformats.org/officeDocument/2006/relationships/hyperlink" Target="https://search.ancestryinstitution.com/aird/search/db.aspx?dbid=1850" TargetMode="External"/><Relationship Id="rId3262" Type="http://schemas.openxmlformats.org/officeDocument/2006/relationships/hyperlink" Target="https://catalog.archives.gov/search?q=4688038%20or%20305392%20or%204719597%20or%204726287&amp;f.level=series" TargetMode="External"/><Relationship Id="rId183" Type="http://schemas.openxmlformats.org/officeDocument/2006/relationships/hyperlink" Target="https://catalog.archives.gov/search-within/3725231?availableOnline=true&amp;sort=naId%3Aasc" TargetMode="External"/><Relationship Id="rId390" Type="http://schemas.openxmlformats.org/officeDocument/2006/relationships/hyperlink" Target="https://familysearch.org/search/collection/2427245" TargetMode="External"/><Relationship Id="rId1907" Type="http://schemas.openxmlformats.org/officeDocument/2006/relationships/hyperlink" Target="https://familysearch.org/search/collection/2297290" TargetMode="External"/><Relationship Id="rId2071" Type="http://schemas.openxmlformats.org/officeDocument/2006/relationships/hyperlink" Target="https://www.fold3.com/title/473/southern-claims-commission-approved-claims-1871-1880" TargetMode="External"/><Relationship Id="rId3122" Type="http://schemas.openxmlformats.org/officeDocument/2006/relationships/hyperlink" Target="https://catalog.archives.gov/search-within/7551471" TargetMode="External"/><Relationship Id="rId250" Type="http://schemas.openxmlformats.org/officeDocument/2006/relationships/hyperlink" Target="https://catalog.archives.gov/search?q=*:*&amp;f.ancestorNaIds=649203&amp;sort=naIdSort%20asc" TargetMode="External"/><Relationship Id="rId110" Type="http://schemas.openxmlformats.org/officeDocument/2006/relationships/hyperlink" Target="https://catalog.archives.gov/search-within/2843043?availableOnline=true&amp;sort=naId%3Aasc" TargetMode="External"/><Relationship Id="rId2888" Type="http://schemas.openxmlformats.org/officeDocument/2006/relationships/hyperlink" Target="https://catalog.archives.gov/search?q=*:*&amp;f.ancestorNaIds=4699300&amp;sort=naIdSort%20asc" TargetMode="External"/><Relationship Id="rId1697" Type="http://schemas.openxmlformats.org/officeDocument/2006/relationships/hyperlink" Target="https://search.ancestryinstitution.com/aird/search/db.aspx?dbid=1082" TargetMode="External"/><Relationship Id="rId2748" Type="http://schemas.openxmlformats.org/officeDocument/2006/relationships/hyperlink" Target="https://catalog.archives.gov/search?q=*:*&amp;f.ancestorNaIds=4499462&amp;sort=titleSort%20asc" TargetMode="External"/><Relationship Id="rId2955" Type="http://schemas.openxmlformats.org/officeDocument/2006/relationships/hyperlink" Target="https://familysearch.org/search/collection/2137708" TargetMode="External"/><Relationship Id="rId927" Type="http://schemas.openxmlformats.org/officeDocument/2006/relationships/hyperlink" Target="https://catalog.archives.gov/search?q=A3980&amp;f.ancestorNaIds=2789495&amp;sort=naIdSort%20asc" TargetMode="External"/><Relationship Id="rId1557" Type="http://schemas.openxmlformats.org/officeDocument/2006/relationships/hyperlink" Target="http://www.footnote.com/title_905/" TargetMode="External"/><Relationship Id="rId1764" Type="http://schemas.openxmlformats.org/officeDocument/2006/relationships/hyperlink" Target="https://search.ancestryinstitution.com/aird/search/db.aspx?dbid=1193" TargetMode="External"/><Relationship Id="rId1971" Type="http://schemas.openxmlformats.org/officeDocument/2006/relationships/hyperlink" Target="https://catalog.archives.gov/search-within/300398?page=2&amp;q=record.microformPublications.identifier%3AM1961&amp;sort=title%3Aasc" TargetMode="External"/><Relationship Id="rId2608" Type="http://schemas.openxmlformats.org/officeDocument/2006/relationships/hyperlink" Target="https://www.fold3.com/title_816/wwii_draft_registration_cards" TargetMode="External"/><Relationship Id="rId2815" Type="http://schemas.openxmlformats.org/officeDocument/2006/relationships/hyperlink" Target="https://www.familysearch.org/search/catalog/results?count=20&amp;query=%2Bkeywords%3A4526824" TargetMode="External"/><Relationship Id="rId56" Type="http://schemas.openxmlformats.org/officeDocument/2006/relationships/hyperlink" Target="https://search.ancestryinstitution.com/aird/search/db.aspx?dbid=9271" TargetMode="External"/><Relationship Id="rId1417" Type="http://schemas.openxmlformats.org/officeDocument/2006/relationships/hyperlink" Target="https://search.ancestryinstitution.com/aird/search/db.aspx?dbid=1264" TargetMode="External"/><Relationship Id="rId1624" Type="http://schemas.openxmlformats.org/officeDocument/2006/relationships/hyperlink" Target="https://search.ancestryinstitution.com/aird/search/db.aspx?dbid=1174" TargetMode="External"/><Relationship Id="rId1831" Type="http://schemas.openxmlformats.org/officeDocument/2006/relationships/hyperlink" Target="https://search.ancestryinstitution.com/aird/search/db.aspx?dbid=1082" TargetMode="External"/><Relationship Id="rId2398" Type="http://schemas.openxmlformats.org/officeDocument/2006/relationships/hyperlink" Target="https://catalog.archives.gov/search?q=*:*&amp;f.ancestorNaIds=1756563&amp;sort=naIdSort%20asc" TargetMode="External"/><Relationship Id="rId577" Type="http://schemas.openxmlformats.org/officeDocument/2006/relationships/hyperlink" Target="https://search.ancestryinstitution.com/aird/search/db.aspx?dbid=9118" TargetMode="External"/><Relationship Id="rId2258" Type="http://schemas.openxmlformats.org/officeDocument/2006/relationships/hyperlink" Target="https://search.ancestryinstitution.com/aird/search/db.aspx?dbid=2508" TargetMode="External"/><Relationship Id="rId784" Type="http://schemas.openxmlformats.org/officeDocument/2006/relationships/hyperlink" Target="https://search.ancestryinstitution.com/aird/search/db.aspx?dbid=8722" TargetMode="External"/><Relationship Id="rId991" Type="http://schemas.openxmlformats.org/officeDocument/2006/relationships/hyperlink" Target="https://catalog.archives.gov/search?q=A4074&amp;f.ancestorNaIds=2953584&amp;sort=naIdSort%20asc" TargetMode="External"/><Relationship Id="rId1067" Type="http://schemas.openxmlformats.org/officeDocument/2006/relationships/hyperlink" Target="https://catalog.archives.gov/search?q=A4187&amp;f.ancestorNaIds=3008030&amp;sort=naIdSort%20asc" TargetMode="External"/><Relationship Id="rId2465" Type="http://schemas.openxmlformats.org/officeDocument/2006/relationships/hyperlink" Target="https://search.ancestryinstitution.com/aird/search/db.aspx?dbid=2504" TargetMode="External"/><Relationship Id="rId2672" Type="http://schemas.openxmlformats.org/officeDocument/2006/relationships/hyperlink" Target="https://search.ancestryinstitution.com/aird/search/db.aspx?dbid=2509" TargetMode="External"/><Relationship Id="rId3309" Type="http://schemas.openxmlformats.org/officeDocument/2006/relationships/hyperlink" Target="https://familysearch.org/search/collection/2028680" TargetMode="External"/><Relationship Id="rId437" Type="http://schemas.openxmlformats.org/officeDocument/2006/relationships/hyperlink" Target="http://familysearch.org/" TargetMode="External"/><Relationship Id="rId644" Type="http://schemas.openxmlformats.org/officeDocument/2006/relationships/hyperlink" Target="https://catalog.archives.gov/search?q=*:*&amp;f.ancestorNaIds=2363750&amp;sort=naIdSort%20asc" TargetMode="External"/><Relationship Id="rId851" Type="http://schemas.openxmlformats.org/officeDocument/2006/relationships/hyperlink" Target="https://search.ancestryinstitution.com/aird/search/db.aspx?dbid=60882" TargetMode="External"/><Relationship Id="rId1274" Type="http://schemas.openxmlformats.org/officeDocument/2006/relationships/hyperlink" Target="https://familysearch.org/search/collection/1610551" TargetMode="External"/><Relationship Id="rId1481" Type="http://schemas.openxmlformats.org/officeDocument/2006/relationships/hyperlink" Target="https://search.ancestryinstitution.com/aird/search/db.aspx?dbid=1165" TargetMode="External"/><Relationship Id="rId2118" Type="http://schemas.openxmlformats.org/officeDocument/2006/relationships/hyperlink" Target="https://familysearch.org/search/collection/2170637" TargetMode="External"/><Relationship Id="rId2325" Type="http://schemas.openxmlformats.org/officeDocument/2006/relationships/hyperlink" Target="https://catalog.archives.gov/search?q=*:*&amp;f.ancestorNaIds=1150838&amp;sort=naIdSort%20asc" TargetMode="External"/><Relationship Id="rId2532" Type="http://schemas.openxmlformats.org/officeDocument/2006/relationships/hyperlink" Target="https://search.ancestryinstitution.com/aird/search/db.aspx?dbid=2509" TargetMode="External"/><Relationship Id="rId504" Type="http://schemas.openxmlformats.org/officeDocument/2006/relationships/hyperlink" Target="https://catalog.archives.gov/search?q=A3456&amp;f.ancestorNaIds=3955399" TargetMode="External"/><Relationship Id="rId711" Type="http://schemas.openxmlformats.org/officeDocument/2006/relationships/hyperlink" Target="https://catalog.archives.gov/search?q=*:*&amp;f.ancestorNaIds=2838591&amp;sort=naIdSort%20asc" TargetMode="External"/><Relationship Id="rId1134" Type="http://schemas.openxmlformats.org/officeDocument/2006/relationships/hyperlink" Target="https://search.ancestryinstitution.com/aird/search/db.aspx?dbid=1267" TargetMode="External"/><Relationship Id="rId1341" Type="http://schemas.openxmlformats.org/officeDocument/2006/relationships/hyperlink" Target="https://familysearch.org/search/collection/1438024" TargetMode="External"/><Relationship Id="rId1201" Type="http://schemas.openxmlformats.org/officeDocument/2006/relationships/hyperlink" Target="https://www.fold3.com/title/42/civil-war-service-records-cmsr-confederate-virginia" TargetMode="External"/><Relationship Id="rId3099" Type="http://schemas.openxmlformats.org/officeDocument/2006/relationships/hyperlink" Target="http://familysearch.org/" TargetMode="External"/><Relationship Id="rId3166" Type="http://schemas.openxmlformats.org/officeDocument/2006/relationships/hyperlink" Target="https://catalog.archives.gov/search?q=*:*&amp;f.ancestorNaIds=7644745&amp;sort=naIdSort%20asc" TargetMode="External"/><Relationship Id="rId3373" Type="http://schemas.openxmlformats.org/officeDocument/2006/relationships/hyperlink" Target="https://www.familysearch.org/search/catalog/2287447" TargetMode="External"/><Relationship Id="rId294" Type="http://schemas.openxmlformats.org/officeDocument/2006/relationships/hyperlink" Target="https://catalog.archives.gov/search?q=*:*&amp;f.ancestorNaIds=4527056" TargetMode="External"/><Relationship Id="rId2182" Type="http://schemas.openxmlformats.org/officeDocument/2006/relationships/hyperlink" Target="https://search.ancestryinstitution.com/aird/search/db.aspx?dbid=60614" TargetMode="External"/><Relationship Id="rId3026" Type="http://schemas.openxmlformats.org/officeDocument/2006/relationships/hyperlink" Target="https://catalog.archives.gov/search?q=*:*&amp;f.ancestorNaIds=6037048&amp;sort=naIdSort%20asc" TargetMode="External"/><Relationship Id="rId3233" Type="http://schemas.openxmlformats.org/officeDocument/2006/relationships/hyperlink" Target="https://www.familysearch.org/search/catalog/results?count=20&amp;query=%2Bkeywords%3A81449708%20%2Bkeywords%3ANational%20%2Bkeywords%3AArchives" TargetMode="External"/><Relationship Id="rId154" Type="http://schemas.openxmlformats.org/officeDocument/2006/relationships/hyperlink" Target="https://search.ancestryinstitution.com/aird/search/db.aspx?dbid=5309" TargetMode="External"/><Relationship Id="rId361" Type="http://schemas.openxmlformats.org/officeDocument/2006/relationships/hyperlink" Target="https://www.familysearch.org/search/collection/2423050" TargetMode="External"/><Relationship Id="rId2042" Type="http://schemas.openxmlformats.org/officeDocument/2006/relationships/hyperlink" Target="https://catalog.archives.gov/search?q=United%20States%20Colored%20Troops%20Brigade%20Band&amp;f.ancestorNaIds=300398" TargetMode="External"/><Relationship Id="rId2999" Type="http://schemas.openxmlformats.org/officeDocument/2006/relationships/hyperlink" Target="https://catalog.archives.gov/id/159258811" TargetMode="External"/><Relationship Id="rId3300" Type="http://schemas.openxmlformats.org/officeDocument/2006/relationships/hyperlink" Target="https://search.ancestryinstitution.com/search/db.aspx?dbid=8919" TargetMode="External"/><Relationship Id="rId221" Type="http://schemas.openxmlformats.org/officeDocument/2006/relationships/hyperlink" Target="https://search.ancestryinstitution.com/aird/search/db.aspx?dbid=1143" TargetMode="External"/><Relationship Id="rId2859" Type="http://schemas.openxmlformats.org/officeDocument/2006/relationships/hyperlink" Target="https://www.familysearch.org/search/catalog/3303033" TargetMode="External"/><Relationship Id="rId1668" Type="http://schemas.openxmlformats.org/officeDocument/2006/relationships/hyperlink" Target="https://search.ancestryinstitution.com/aird/search/db.aspx?dbid=1075" TargetMode="External"/><Relationship Id="rId1875" Type="http://schemas.openxmlformats.org/officeDocument/2006/relationships/hyperlink" Target="https://catalog.archives.gov/search-within/300398?page=2&amp;q=record.microformPublications.identifier%3AM1819&amp;sort=title%3Aasc" TargetMode="External"/><Relationship Id="rId2719" Type="http://schemas.openxmlformats.org/officeDocument/2006/relationships/hyperlink" Target="https://catalog.archives.gov/search?q=*:*&amp;f.ancestorNaIds=4477905&amp;sort=naIdSort%20asc" TargetMode="External"/><Relationship Id="rId1528" Type="http://schemas.openxmlformats.org/officeDocument/2006/relationships/hyperlink" Target="https://familysearch.org/search/collection/2427894" TargetMode="External"/><Relationship Id="rId2926" Type="http://schemas.openxmlformats.org/officeDocument/2006/relationships/hyperlink" Target="https://familysearch.org/search/collection/2285702" TargetMode="External"/><Relationship Id="rId3090" Type="http://schemas.openxmlformats.org/officeDocument/2006/relationships/hyperlink" Target="https://catalog.archives.gov/search?q=*:*&amp;f.ancestorNaIds=7408555&amp;sort=naIdSort%20asc" TargetMode="External"/><Relationship Id="rId1735" Type="http://schemas.openxmlformats.org/officeDocument/2006/relationships/hyperlink" Target="https://search.ancestryinstitution.com/aird/search/db.aspx?dbid=1629" TargetMode="External"/><Relationship Id="rId1942" Type="http://schemas.openxmlformats.org/officeDocument/2006/relationships/hyperlink" Target="http://www.fold3.com/title_837/" TargetMode="External"/><Relationship Id="rId27" Type="http://schemas.openxmlformats.org/officeDocument/2006/relationships/hyperlink" Target="https://familysearch.org/search/collection/2442761" TargetMode="External"/><Relationship Id="rId1802" Type="http://schemas.openxmlformats.org/officeDocument/2006/relationships/hyperlink" Target="https://search.ancestryinstitution.com/aird/search/db.aspx?dbid=1131" TargetMode="External"/><Relationship Id="rId688" Type="http://schemas.openxmlformats.org/officeDocument/2006/relationships/hyperlink" Target="https://catalog.archives.gov/search?q=A3613&amp;f.ancestorNaIds=2842936&amp;sort=naIdSort%20asc" TargetMode="External"/><Relationship Id="rId895" Type="http://schemas.openxmlformats.org/officeDocument/2006/relationships/hyperlink" Target="https://catalog.archives.gov/search?q=A3945&amp;f.ancestorNaIds=2788960&amp;sort=naIdSort%20asc" TargetMode="External"/><Relationship Id="rId2369" Type="http://schemas.openxmlformats.org/officeDocument/2006/relationships/hyperlink" Target="https://catalog.archives.gov/search?q=*:*&amp;f.ancestorNaIds=1257644&amp;sort=naIdSort%20asc&amp;f.oldScope=online" TargetMode="External"/><Relationship Id="rId2576" Type="http://schemas.openxmlformats.org/officeDocument/2006/relationships/hyperlink" Target="https://search.ancestryinstitution.com/aird/search/db.aspx?dbid=2505" TargetMode="External"/><Relationship Id="rId2783" Type="http://schemas.openxmlformats.org/officeDocument/2006/relationships/hyperlink" Target="https://familysearch.org/search/collection/1389983" TargetMode="External"/><Relationship Id="rId2990" Type="http://schemas.openxmlformats.org/officeDocument/2006/relationships/hyperlink" Target="https://www.fold3.com/title_816/wwii_draft_registration_cards" TargetMode="External"/><Relationship Id="rId548" Type="http://schemas.openxmlformats.org/officeDocument/2006/relationships/hyperlink" Target="https://www.familysearch.org/search/collection/2072744" TargetMode="External"/><Relationship Id="rId755" Type="http://schemas.openxmlformats.org/officeDocument/2006/relationships/hyperlink" Target="https://catalog.archives.gov/search?q=A3696&amp;f.ancestorNaIds=2953588&amp;sort=naIdSort%20asc" TargetMode="External"/><Relationship Id="rId962" Type="http://schemas.openxmlformats.org/officeDocument/2006/relationships/hyperlink" Target="https://catalog.archives.gov/search?q=A4026&amp;f.ancestorNaIds=2790495&amp;sort=naIdSort%20asc" TargetMode="External"/><Relationship Id="rId1178" Type="http://schemas.openxmlformats.org/officeDocument/2006/relationships/hyperlink" Target="https://familysearch.org/search/collection/1834325" TargetMode="External"/><Relationship Id="rId1385" Type="http://schemas.openxmlformats.org/officeDocument/2006/relationships/hyperlink" Target="https://search.ancestryinstitution.com/aird/search/db.aspx?dbid=1299" TargetMode="External"/><Relationship Id="rId1592" Type="http://schemas.openxmlformats.org/officeDocument/2006/relationships/hyperlink" Target="https://search.ancestryinstitution.com/search/db.aspx?dbid=1629" TargetMode="External"/><Relationship Id="rId2229" Type="http://schemas.openxmlformats.org/officeDocument/2006/relationships/hyperlink" Target="https://familysearch.org/search/collection/2285702" TargetMode="External"/><Relationship Id="rId2436" Type="http://schemas.openxmlformats.org/officeDocument/2006/relationships/hyperlink" Target="https://search.ancestryinstitution.com/aird/search/db.aspx?dbid=2500" TargetMode="External"/><Relationship Id="rId2643" Type="http://schemas.openxmlformats.org/officeDocument/2006/relationships/hyperlink" Target="https://search.ancestryinstitution.com/aird/search/db.aspx?dbid=2506" TargetMode="External"/><Relationship Id="rId2850" Type="http://schemas.openxmlformats.org/officeDocument/2006/relationships/hyperlink" Target="https://catalog.archives.gov/search?q=*:*&amp;f.ancestorNaIds=4688038&amp;sort=naIdSort%20asc" TargetMode="External"/><Relationship Id="rId91" Type="http://schemas.openxmlformats.org/officeDocument/2006/relationships/hyperlink" Target="https://catalog.archives.gov/search-within/2843035?availableOnline=true&amp;sort=naId%3Aasc" TargetMode="External"/><Relationship Id="rId408" Type="http://schemas.openxmlformats.org/officeDocument/2006/relationships/hyperlink" Target="https://catalog.archives.gov/search?q=*:*&amp;f.ancestorNaIds=4492476&amp;sort=naIdSort%20asc" TargetMode="External"/><Relationship Id="rId615" Type="http://schemas.openxmlformats.org/officeDocument/2006/relationships/hyperlink" Target="https://search.ancestryinstitution.com/aird/search/db.aspx?dbid=8769" TargetMode="External"/><Relationship Id="rId822" Type="http://schemas.openxmlformats.org/officeDocument/2006/relationships/hyperlink" Target="https://search.ancestryinstitution.com/aird/search/db.aspx?dbid=60501" TargetMode="External"/><Relationship Id="rId1038" Type="http://schemas.openxmlformats.org/officeDocument/2006/relationships/hyperlink" Target="https://ancestry.com/" TargetMode="External"/><Relationship Id="rId1245" Type="http://schemas.openxmlformats.org/officeDocument/2006/relationships/hyperlink" Target="https://search.ancestryinstitution.com/aird/search/db.aspx?dbid=2344" TargetMode="External"/><Relationship Id="rId1452" Type="http://schemas.openxmlformats.org/officeDocument/2006/relationships/hyperlink" Target="https://search.ancestryinstitution.com/aird/search/db.aspx?dbid=1264" TargetMode="External"/><Relationship Id="rId2503" Type="http://schemas.openxmlformats.org/officeDocument/2006/relationships/hyperlink" Target="https://search.ancestryinstitution.com/aird/search/db.aspx?dbid=2505" TargetMode="External"/><Relationship Id="rId1105" Type="http://schemas.openxmlformats.org/officeDocument/2006/relationships/hyperlink" Target="https://catalog.archives.gov/search?q=M40&amp;f.ancestorNaIds=568025" TargetMode="External"/><Relationship Id="rId1312" Type="http://schemas.openxmlformats.org/officeDocument/2006/relationships/hyperlink" Target="https://catalog.archives.gov/search-within/654530?q=record.microformPublications.identifier%3AM545&amp;sort=title%3Aasc" TargetMode="External"/><Relationship Id="rId2710" Type="http://schemas.openxmlformats.org/officeDocument/2006/relationships/hyperlink" Target="https://catalog.archives.gov/search?q=*:*&amp;f.ancestorNaIds=4477674&amp;sort=naIdSort%20asc" TargetMode="External"/><Relationship Id="rId3277" Type="http://schemas.openxmlformats.org/officeDocument/2006/relationships/hyperlink" Target="http://familysearch.org/" TargetMode="External"/><Relationship Id="rId198" Type="http://schemas.openxmlformats.org/officeDocument/2006/relationships/hyperlink" Target="https://catalog.archives.gov/search-within/654530?q=record.microformPublications.identifier%3AM1290&amp;sort=title%3Aasc" TargetMode="External"/><Relationship Id="rId2086" Type="http://schemas.openxmlformats.org/officeDocument/2006/relationships/hyperlink" Target="https://search.ancestryinstitution.com/aird/search/db.aspx?dbid=2509" TargetMode="External"/><Relationship Id="rId2293" Type="http://schemas.openxmlformats.org/officeDocument/2006/relationships/hyperlink" Target="https://catalog.archives.gov/search-within/1087232" TargetMode="External"/><Relationship Id="rId3137" Type="http://schemas.openxmlformats.org/officeDocument/2006/relationships/hyperlink" Target="https://www.fold3.com/title_816/wwii_draft_registration_cards" TargetMode="External"/><Relationship Id="rId3344" Type="http://schemas.openxmlformats.org/officeDocument/2006/relationships/hyperlink" Target="https://catalog.archives.gov/search?q=*:*&amp;f.ancestorNaIds=16660414&amp;sort=naIdSort%20asc&amp;f.oldScope=online" TargetMode="External"/><Relationship Id="rId265" Type="http://schemas.openxmlformats.org/officeDocument/2006/relationships/hyperlink" Target="https://search.ancestryinstitution.com/aird/search/db.aspx?dbid=60420" TargetMode="External"/><Relationship Id="rId472" Type="http://schemas.openxmlformats.org/officeDocument/2006/relationships/hyperlink" Target="https://www.familysearch.org/search/collection/2426314" TargetMode="External"/><Relationship Id="rId2153" Type="http://schemas.openxmlformats.org/officeDocument/2006/relationships/hyperlink" Target="https://catalog.archives.gov/search?q=*:*&amp;f.ancestorNaIds=598912&amp;sort=naIdSort%20asc" TargetMode="External"/><Relationship Id="rId2360" Type="http://schemas.openxmlformats.org/officeDocument/2006/relationships/hyperlink" Target="https://search.ancestryinstitution.com/aird/search/db.aspx?dbid=2995" TargetMode="External"/><Relationship Id="rId3204" Type="http://schemas.openxmlformats.org/officeDocument/2006/relationships/hyperlink" Target="https://catalog.archives.gov/search?q=*:*&amp;f.ancestorNaIds=55275709&amp;sort=naIdSort%20asc" TargetMode="External"/><Relationship Id="rId125" Type="http://schemas.openxmlformats.org/officeDocument/2006/relationships/hyperlink" Target="https://catalog.archives.gov/search-within/2771912?availableOnline=true&amp;sort=naId%3Aasc" TargetMode="External"/><Relationship Id="rId332" Type="http://schemas.openxmlformats.org/officeDocument/2006/relationships/hyperlink" Target="http://familysearch.org/" TargetMode="External"/><Relationship Id="rId2013" Type="http://schemas.openxmlformats.org/officeDocument/2006/relationships/hyperlink" Target="http://www.fold3.com/title_787/" TargetMode="External"/><Relationship Id="rId2220" Type="http://schemas.openxmlformats.org/officeDocument/2006/relationships/hyperlink" Target="https://catalog.archives.gov/search?q=*:*&amp;f.ancestorNaIds=648604&amp;sort=titleSort%20asc" TargetMode="External"/><Relationship Id="rId1779" Type="http://schemas.openxmlformats.org/officeDocument/2006/relationships/hyperlink" Target="https://search.ancestry.com/search/db.aspx?dbid=1217" TargetMode="External"/><Relationship Id="rId1986" Type="http://schemas.openxmlformats.org/officeDocument/2006/relationships/hyperlink" Target="https://search.ancestryinstitution.com/aird/search/db.aspx?dbid=1107" TargetMode="External"/><Relationship Id="rId1639" Type="http://schemas.openxmlformats.org/officeDocument/2006/relationships/hyperlink" Target="https://search.ancestryinstitution.com/aird/search/db.aspx?dbid=8945" TargetMode="External"/><Relationship Id="rId1846" Type="http://schemas.openxmlformats.org/officeDocument/2006/relationships/hyperlink" Target="https://familysearch.org/search/collection/1979426" TargetMode="External"/><Relationship Id="rId3061" Type="http://schemas.openxmlformats.org/officeDocument/2006/relationships/hyperlink" Target="https://catalog.archives.gov/search?q=*:*&amp;f.ancestorNaIds=6210476&amp;sort=naIdSort%20asc" TargetMode="External"/><Relationship Id="rId1706" Type="http://schemas.openxmlformats.org/officeDocument/2006/relationships/hyperlink" Target="https://familysearch.org/search/collection/1913395" TargetMode="External"/><Relationship Id="rId1913" Type="http://schemas.openxmlformats.org/officeDocument/2006/relationships/hyperlink" Target="https://catalog.archives.gov/search?q=M1876&amp;f.ancestorNaIds=2791152" TargetMode="External"/><Relationship Id="rId799" Type="http://schemas.openxmlformats.org/officeDocument/2006/relationships/hyperlink" Target="https://catalog.archives.gov/search?q=A3790&amp;f.ancestorNaIds=2843370&amp;sort=naIdSort%20asc" TargetMode="External"/><Relationship Id="rId2687" Type="http://schemas.openxmlformats.org/officeDocument/2006/relationships/hyperlink" Target="https://search.ancestryinstitution.com/aird/search/db.aspx?dbid=2509" TargetMode="External"/><Relationship Id="rId2894" Type="http://schemas.openxmlformats.org/officeDocument/2006/relationships/hyperlink" Target="https://catalog.archives.gov/search?q=*:*&amp;f.ancestorNaIds=4700594&amp;sort=titleSort%20asc" TargetMode="External"/><Relationship Id="rId659" Type="http://schemas.openxmlformats.org/officeDocument/2006/relationships/hyperlink" Target="https://catalog.archives.gov/search?q=A3589&amp;f.ancestorNaIds=2663485&amp;sort=naIdSort%20asc" TargetMode="External"/><Relationship Id="rId866" Type="http://schemas.openxmlformats.org/officeDocument/2006/relationships/hyperlink" Target="https://ancestry.com/" TargetMode="External"/><Relationship Id="rId1289" Type="http://schemas.openxmlformats.org/officeDocument/2006/relationships/hyperlink" Target="http://www.fold3.com/title_697/civil_war_soldiers_union_wv/" TargetMode="External"/><Relationship Id="rId1496" Type="http://schemas.openxmlformats.org/officeDocument/2006/relationships/hyperlink" Target="https://search.ancestryinstitution.com/aird/search/db.aspx?dbid=1135" TargetMode="External"/><Relationship Id="rId2547" Type="http://schemas.openxmlformats.org/officeDocument/2006/relationships/hyperlink" Target="https://search.ancestryinstitution.com/aird/search/db.aspx?dbid=2503" TargetMode="External"/><Relationship Id="rId519" Type="http://schemas.openxmlformats.org/officeDocument/2006/relationships/hyperlink" Target="https://catalog.archives.gov/search?q=A3462&amp;f.ancestorNaIds=3931215" TargetMode="External"/><Relationship Id="rId1149" Type="http://schemas.openxmlformats.org/officeDocument/2006/relationships/hyperlink" Target="https://catalog.archives.gov/search?q=M267&amp;f.ancestorNaIds=586957&amp;f.level=fileUnit" TargetMode="External"/><Relationship Id="rId1356" Type="http://schemas.openxmlformats.org/officeDocument/2006/relationships/hyperlink" Target="https://catalog.archives.gov/search?q=*:*&amp;f.ancestorNaIds=654518&amp;sort=naIdSort%20asc" TargetMode="External"/><Relationship Id="rId2754" Type="http://schemas.openxmlformats.org/officeDocument/2006/relationships/hyperlink" Target="https://catalog.archives.gov/search?q=*:*&amp;f.ancestorNaIds=4499501&amp;sort=titleSort%20asc" TargetMode="External"/><Relationship Id="rId2961" Type="http://schemas.openxmlformats.org/officeDocument/2006/relationships/hyperlink" Target="https://catalog.archives.gov/search-within/5681064" TargetMode="External"/><Relationship Id="rId726" Type="http://schemas.openxmlformats.org/officeDocument/2006/relationships/hyperlink" Target="https://search.ancestryinstitution.com/aird/search/db.aspx?dbid=7484" TargetMode="External"/><Relationship Id="rId933" Type="http://schemas.openxmlformats.org/officeDocument/2006/relationships/hyperlink" Target="https://search.ancestryinstitution.com/aird/search/db.aspx?dbid=9220" TargetMode="External"/><Relationship Id="rId1009" Type="http://schemas.openxmlformats.org/officeDocument/2006/relationships/hyperlink" Target="https://catalog.archives.gov/search?q=A4088&amp;f.ancestorNaIds=3684373&amp;sort=naIdSort%20asc" TargetMode="External"/><Relationship Id="rId1563" Type="http://schemas.openxmlformats.org/officeDocument/2006/relationships/hyperlink" Target="https://catalog.archives.gov/search?q=M1144&amp;f.level=fileunit&amp;f.oldScope=online" TargetMode="External"/><Relationship Id="rId1770" Type="http://schemas.openxmlformats.org/officeDocument/2006/relationships/hyperlink" Target="https://familysearch.org/search/collection/1877093" TargetMode="External"/><Relationship Id="rId2407" Type="http://schemas.openxmlformats.org/officeDocument/2006/relationships/hyperlink" Target="https://search.ancestryinstitution.com/aird/search/db.aspx?dbid=1850" TargetMode="External"/><Relationship Id="rId2614" Type="http://schemas.openxmlformats.org/officeDocument/2006/relationships/hyperlink" Target="https://www.fold3.com/title_816/wwii_draft_registration_cards" TargetMode="External"/><Relationship Id="rId2821" Type="http://schemas.openxmlformats.org/officeDocument/2006/relationships/hyperlink" Target="https://catalog.archives.gov/search?q=*:*&amp;f.ancestorNaIds=4532642&amp;sort=naIdSort%20asc" TargetMode="External"/><Relationship Id="rId62" Type="http://schemas.openxmlformats.org/officeDocument/2006/relationships/hyperlink" Target="https://search.ancestryinstitution.com/aird/search/db.aspx?dbid=8945" TargetMode="External"/><Relationship Id="rId1216" Type="http://schemas.openxmlformats.org/officeDocument/2006/relationships/hyperlink" Target="http://www.footnote.com/title_656/" TargetMode="External"/><Relationship Id="rId1423" Type="http://schemas.openxmlformats.org/officeDocument/2006/relationships/hyperlink" Target="https://search.ancestryinstitution.com/aird/search/db.aspx?dbid=1264" TargetMode="External"/><Relationship Id="rId1630" Type="http://schemas.openxmlformats.org/officeDocument/2006/relationships/hyperlink" Target="https://catalog.archives.gov/search?q=*:*&amp;f.ancestorNaIds=4499524&amp;sort=naIdSort%20asc" TargetMode="External"/><Relationship Id="rId3388" Type="http://schemas.openxmlformats.org/officeDocument/2006/relationships/vmlDrawing" Target="../drawings/vmlDrawing1.vml"/><Relationship Id="rId2197" Type="http://schemas.openxmlformats.org/officeDocument/2006/relationships/hyperlink" Target="http://www.fold3.com/title_765/" TargetMode="External"/><Relationship Id="rId3248" Type="http://schemas.openxmlformats.org/officeDocument/2006/relationships/hyperlink" Target="https://catalog.archives.gov/search?q=*:*&amp;f.ancestorNaIds=83146125&amp;sort=naIdSort%20asc" TargetMode="External"/><Relationship Id="rId169" Type="http://schemas.openxmlformats.org/officeDocument/2006/relationships/hyperlink" Target="https://search.ancestryinstitution.com/aird/search/db.aspx?dbid=1277" TargetMode="External"/><Relationship Id="rId376" Type="http://schemas.openxmlformats.org/officeDocument/2006/relationships/hyperlink" Target="https://catalog.archives.gov/search?q=*:*&amp;f.ancestorNaIds=4477273&amp;sort=naIdSort%20asc" TargetMode="External"/><Relationship Id="rId583" Type="http://schemas.openxmlformats.org/officeDocument/2006/relationships/hyperlink" Target="https://catalog.archives.gov/search?q=*:*&amp;f.ancestorNaIds=2363653&amp;sort=naIdSort%20asc" TargetMode="External"/><Relationship Id="rId790" Type="http://schemas.openxmlformats.org/officeDocument/2006/relationships/hyperlink" Target="https://catalog.archives.gov/search?q=A3766&amp;f.ancestorNaIds=2842937&amp;sort=naIdSort%20asc" TargetMode="External"/><Relationship Id="rId2057" Type="http://schemas.openxmlformats.org/officeDocument/2006/relationships/hyperlink" Target="http://www.fold3.com/title_765/" TargetMode="External"/><Relationship Id="rId2264" Type="http://schemas.openxmlformats.org/officeDocument/2006/relationships/hyperlink" Target="https://www.familysearch.org/wiki/en/Missouri_Naturalization_and_Citizenship" TargetMode="External"/><Relationship Id="rId2471" Type="http://schemas.openxmlformats.org/officeDocument/2006/relationships/hyperlink" Target="https://search.ancestryinstitution.com/aird/search/db.aspx?dbid=2502" TargetMode="External"/><Relationship Id="rId3108" Type="http://schemas.openxmlformats.org/officeDocument/2006/relationships/hyperlink" Target="http://familysearch.org/" TargetMode="External"/><Relationship Id="rId3315" Type="http://schemas.openxmlformats.org/officeDocument/2006/relationships/hyperlink" Target="https://familysearch.org/search/collection/2127320" TargetMode="External"/><Relationship Id="rId236" Type="http://schemas.openxmlformats.org/officeDocument/2006/relationships/hyperlink" Target="http://www.footnote.com/title_880/" TargetMode="External"/><Relationship Id="rId443" Type="http://schemas.openxmlformats.org/officeDocument/2006/relationships/hyperlink" Target="https://catalog.archives.gov/search?q=*:*&amp;f.ancestorNaIds=4439118&amp;sort=naIdSort%20asc" TargetMode="External"/><Relationship Id="rId650" Type="http://schemas.openxmlformats.org/officeDocument/2006/relationships/hyperlink" Target="https://catalog.archives.gov/search?q=A3578&amp;f.ancestorNaIds=2843056&amp;sort=naIdSort%20asc" TargetMode="External"/><Relationship Id="rId1073" Type="http://schemas.openxmlformats.org/officeDocument/2006/relationships/hyperlink" Target="https://catalog.archives.gov/search?q=A4197&amp;f.ancestorNaIds=3535586&amp;sort=naIdSort%20asc" TargetMode="External"/><Relationship Id="rId1280" Type="http://schemas.openxmlformats.org/officeDocument/2006/relationships/hyperlink" Target="https://familysearch.org/search/collection/1932418" TargetMode="External"/><Relationship Id="rId2124" Type="http://schemas.openxmlformats.org/officeDocument/2006/relationships/hyperlink" Target="https://familysearch.org/search/collection/2170637" TargetMode="External"/><Relationship Id="rId2331" Type="http://schemas.openxmlformats.org/officeDocument/2006/relationships/hyperlink" Target="https://catalog.archives.gov/search?q=*:*&amp;f.ancestorNaIds=1154553&amp;sort=naIdSort%20asc" TargetMode="External"/><Relationship Id="rId303" Type="http://schemas.openxmlformats.org/officeDocument/2006/relationships/hyperlink" Target="https://familysearch.org/search/collection/2193241" TargetMode="External"/><Relationship Id="rId1140" Type="http://schemas.openxmlformats.org/officeDocument/2006/relationships/hyperlink" Target="https://familysearch.org/search/collection/1916009" TargetMode="External"/><Relationship Id="rId510" Type="http://schemas.openxmlformats.org/officeDocument/2006/relationships/hyperlink" Target="https://search.ancestryinstitution.com/aird/search/db.aspx?dbid=8722" TargetMode="External"/><Relationship Id="rId1000" Type="http://schemas.openxmlformats.org/officeDocument/2006/relationships/hyperlink" Target="https://catalog.archives.gov/search?q=A4080&amp;f.ancestorNaIds=3000080&amp;sort=naIdSort%20asc" TargetMode="External"/><Relationship Id="rId1957" Type="http://schemas.openxmlformats.org/officeDocument/2006/relationships/hyperlink" Target="https://catalog.archives.gov/search?q=M1944%20Fold3&amp;f.level=fileunit&amp;f.recordGroupNoCollectionId=239&amp;f.oldScope=online" TargetMode="External"/><Relationship Id="rId1817" Type="http://schemas.openxmlformats.org/officeDocument/2006/relationships/hyperlink" Target="https://catalog.archives.gov/search?q=*:*&amp;f.ancestorNaIds=4529616&amp;sort=naIdSort%20asc" TargetMode="External"/><Relationship Id="rId3172" Type="http://schemas.openxmlformats.org/officeDocument/2006/relationships/hyperlink" Target="https://search.ancestryinstitution.com/aird/search/db.aspx?dbid=2238" TargetMode="External"/><Relationship Id="rId3032" Type="http://schemas.openxmlformats.org/officeDocument/2006/relationships/hyperlink" Target="https://search.ancestryinstitution.com/aird/search/db.aspx?dbid=2502" TargetMode="External"/><Relationship Id="rId160" Type="http://schemas.openxmlformats.org/officeDocument/2006/relationships/hyperlink" Target="https://ancestry.com/" TargetMode="External"/><Relationship Id="rId2798" Type="http://schemas.openxmlformats.org/officeDocument/2006/relationships/hyperlink" Target="https://search.ancestryinstitution.com/aird/search/db.aspx?dbid=2512" TargetMode="External"/><Relationship Id="rId977" Type="http://schemas.openxmlformats.org/officeDocument/2006/relationships/hyperlink" Target="https://catalog.archives.gov/search?q=A4053&amp;f.ancestorNaIds=3174900&amp;sort=naIdSort%20asc" TargetMode="External"/><Relationship Id="rId2658" Type="http://schemas.openxmlformats.org/officeDocument/2006/relationships/hyperlink" Target="https://familysearch.org/search/collection/2191222" TargetMode="External"/><Relationship Id="rId2865" Type="http://schemas.openxmlformats.org/officeDocument/2006/relationships/hyperlink" Target="https://search.ancestryinstitution.com/aird/search/db.aspx?dbid=2507" TargetMode="External"/><Relationship Id="rId837" Type="http://schemas.openxmlformats.org/officeDocument/2006/relationships/hyperlink" Target="https://catalog.archives.gov/search?q=A3848&amp;f.ancestorNaIds=2789006&amp;sort=naIdSort%20asc" TargetMode="External"/><Relationship Id="rId1467" Type="http://schemas.openxmlformats.org/officeDocument/2006/relationships/hyperlink" Target="https://familysearch.org/search/collection/2432992" TargetMode="External"/><Relationship Id="rId1674" Type="http://schemas.openxmlformats.org/officeDocument/2006/relationships/hyperlink" Target="https://search.ancestryinstitution.com/aird/search/db.aspx?dbid=1357" TargetMode="External"/><Relationship Id="rId1881" Type="http://schemas.openxmlformats.org/officeDocument/2006/relationships/hyperlink" Target="http://familysearch.org/" TargetMode="External"/><Relationship Id="rId2518" Type="http://schemas.openxmlformats.org/officeDocument/2006/relationships/hyperlink" Target="https://catalog.archives.gov/search?q=*:*&amp;f.ancestorNaIds=2554808&amp;sort=naIdSort%20asc&amp;f.level=fileunit" TargetMode="External"/><Relationship Id="rId2725" Type="http://schemas.openxmlformats.org/officeDocument/2006/relationships/hyperlink" Target="https://catalog.archives.gov/search-within/4483016" TargetMode="External"/><Relationship Id="rId2932" Type="http://schemas.openxmlformats.org/officeDocument/2006/relationships/hyperlink" Target="https://www.familysearch.org/wiki/en/Maine_Taxation" TargetMode="External"/><Relationship Id="rId904" Type="http://schemas.openxmlformats.org/officeDocument/2006/relationships/hyperlink" Target="https://catalog.archives.gov/search-within/2642426" TargetMode="External"/><Relationship Id="rId1327" Type="http://schemas.openxmlformats.org/officeDocument/2006/relationships/hyperlink" Target="https://catalog.archives.gov/search-within/654530?q=record.microformPublications.identifier%3AM557&amp;sort=title%3Aasc" TargetMode="External"/><Relationship Id="rId1534" Type="http://schemas.openxmlformats.org/officeDocument/2006/relationships/hyperlink" Target="https://familysearch.org/search/collection/2427894" TargetMode="External"/><Relationship Id="rId1741" Type="http://schemas.openxmlformats.org/officeDocument/2006/relationships/hyperlink" Target="https://search.ancestryinstitution.com/aird/search/db.aspx?dbid=1629" TargetMode="External"/><Relationship Id="rId33" Type="http://schemas.openxmlformats.org/officeDocument/2006/relationships/hyperlink" Target="https://familysearch.org/search/collection/2443354" TargetMode="External"/><Relationship Id="rId1601" Type="http://schemas.openxmlformats.org/officeDocument/2006/relationships/hyperlink" Target="http://www.fold3.com/title_783/" TargetMode="External"/><Relationship Id="rId3359" Type="http://schemas.openxmlformats.org/officeDocument/2006/relationships/hyperlink" Target="https://www.familysearch.org/search/catalog/291700?availability=Family%20History%20Library" TargetMode="External"/><Relationship Id="rId487" Type="http://schemas.openxmlformats.org/officeDocument/2006/relationships/hyperlink" Target="https://catalog.archives.gov/search?q=*:*&amp;f.ancestorNaIds=4525485&amp;sort=naIdSort%20asc" TargetMode="External"/><Relationship Id="rId694" Type="http://schemas.openxmlformats.org/officeDocument/2006/relationships/hyperlink" Target="https://catalog.archives.gov/search?q=A3617&amp;f.ancestorNaIds=2827732&amp;sort=naIdSort%20asc" TargetMode="External"/><Relationship Id="rId2168" Type="http://schemas.openxmlformats.org/officeDocument/2006/relationships/hyperlink" Target="https://search.ancestryinstitution.com/aird/search/db.aspx?dbid=60614" TargetMode="External"/><Relationship Id="rId2375" Type="http://schemas.openxmlformats.org/officeDocument/2006/relationships/hyperlink" Target="https://catalog.archives.gov/search?q=*:*&amp;f.ancestorNaIds=1261565&amp;sort=naIdSort%20asc" TargetMode="External"/><Relationship Id="rId3219" Type="http://schemas.openxmlformats.org/officeDocument/2006/relationships/hyperlink" Target="https://catalog.archives.gov/search?q=*:*&amp;f.ancestorNaIds=76193916&amp;sort=naIdSort%20asc" TargetMode="External"/><Relationship Id="rId347" Type="http://schemas.openxmlformats.org/officeDocument/2006/relationships/hyperlink" Target="https://www.ancestry.com/search/collections/nonpopcensus/" TargetMode="External"/><Relationship Id="rId1184" Type="http://schemas.openxmlformats.org/officeDocument/2006/relationships/hyperlink" Target="https://www.fold3.com/title_32/civil_war_soldiers_confederate_ky" TargetMode="External"/><Relationship Id="rId2028" Type="http://schemas.openxmlformats.org/officeDocument/2006/relationships/hyperlink" Target="https://www.fold3.com/title/448/pearl-harbor-muster-rolls" TargetMode="External"/><Relationship Id="rId2582" Type="http://schemas.openxmlformats.org/officeDocument/2006/relationships/hyperlink" Target="https://www.fold3.com/title_816/wwii_draft_registration_cards" TargetMode="External"/><Relationship Id="rId554" Type="http://schemas.openxmlformats.org/officeDocument/2006/relationships/hyperlink" Target="https://search.ancestryinstitution.com/search/db.aspx?dbid=8722" TargetMode="External"/><Relationship Id="rId761" Type="http://schemas.openxmlformats.org/officeDocument/2006/relationships/hyperlink" Target="https://catalog.archives.gov/search?q=A3716&amp;f.ancestorNaIds=2645540&amp;sort=naIdSort%20asc" TargetMode="External"/><Relationship Id="rId1391" Type="http://schemas.openxmlformats.org/officeDocument/2006/relationships/hyperlink" Target="https://familysearch.org/search/collection/1786457" TargetMode="External"/><Relationship Id="rId2235" Type="http://schemas.openxmlformats.org/officeDocument/2006/relationships/hyperlink" Target="https://search.ancestryinstitution.com/aird/search/db.aspx?dbid=60427" TargetMode="External"/><Relationship Id="rId2442" Type="http://schemas.openxmlformats.org/officeDocument/2006/relationships/hyperlink" Target="https://search.ancestryinstitution.com/aird/search/db.aspx?dbid=2238" TargetMode="External"/><Relationship Id="rId207" Type="http://schemas.openxmlformats.org/officeDocument/2006/relationships/hyperlink" Target="https://catalog.archives.gov/search?q=M1903&amp;recordGroupNumber=105&amp;availableOnline=true&amp;dataSource=description" TargetMode="External"/><Relationship Id="rId414" Type="http://schemas.openxmlformats.org/officeDocument/2006/relationships/hyperlink" Target="https://www.familysearch.org/search/collection/2421787" TargetMode="External"/><Relationship Id="rId621" Type="http://schemas.openxmlformats.org/officeDocument/2006/relationships/hyperlink" Target="https://search.ancestryinstitution.com/aird/search/db.aspx?dbid=8842" TargetMode="External"/><Relationship Id="rId1044" Type="http://schemas.openxmlformats.org/officeDocument/2006/relationships/hyperlink" Target="https://catalog.archives.gov/search-within/3190090" TargetMode="External"/><Relationship Id="rId1251" Type="http://schemas.openxmlformats.org/officeDocument/2006/relationships/hyperlink" Target="https://catalog.archives.gov/search-within/300398?page=2&amp;q=record.microformPublications.identifier%3AM400&amp;sort=title%3Aasc" TargetMode="External"/><Relationship Id="rId2302" Type="http://schemas.openxmlformats.org/officeDocument/2006/relationships/hyperlink" Target="https://familysearch.org/search/collection/2173973" TargetMode="External"/><Relationship Id="rId1111" Type="http://schemas.openxmlformats.org/officeDocument/2006/relationships/hyperlink" Target="https://search.ancestryinstitution.com/aird/search/db.aspx?dbid=6837" TargetMode="External"/><Relationship Id="rId3076" Type="http://schemas.openxmlformats.org/officeDocument/2006/relationships/hyperlink" Target="https://familysearch.org/search/collection/2193241" TargetMode="External"/><Relationship Id="rId3283" Type="http://schemas.openxmlformats.org/officeDocument/2006/relationships/hyperlink" Target="https://familysearch.org/search/collection/2110801" TargetMode="External"/><Relationship Id="rId1928" Type="http://schemas.openxmlformats.org/officeDocument/2006/relationships/hyperlink" Target="https://www.fold3.com/title_679/civil_war_soldiers_union_colored_troops_54th_ma_infantry" TargetMode="External"/><Relationship Id="rId2092" Type="http://schemas.openxmlformats.org/officeDocument/2006/relationships/hyperlink" Target="https://search.ancestryinstitution.com/aird/search/db.aspx?dbid=2509" TargetMode="External"/><Relationship Id="rId3143" Type="http://schemas.openxmlformats.org/officeDocument/2006/relationships/hyperlink" Target="https://ancestryinstitution.com/" TargetMode="External"/><Relationship Id="rId3350" Type="http://schemas.openxmlformats.org/officeDocument/2006/relationships/hyperlink" Target="https://search.ancestryinstitution.com/aird/search/db.aspx?dbid=8745" TargetMode="External"/><Relationship Id="rId271" Type="http://schemas.openxmlformats.org/officeDocument/2006/relationships/hyperlink" Target="https://search.ancestryinstitution.com/aird/search/db.aspx?dbid=2502" TargetMode="External"/><Relationship Id="rId3003" Type="http://schemas.openxmlformats.org/officeDocument/2006/relationships/hyperlink" Target="https://catalog.archives.gov/search-within/5757091" TargetMode="External"/><Relationship Id="rId131" Type="http://schemas.openxmlformats.org/officeDocument/2006/relationships/hyperlink" Target="https://catalog.archives.gov/search-within/2922359?availableOnline=true&amp;sort=naId%3Aasc" TargetMode="External"/><Relationship Id="rId3210" Type="http://schemas.openxmlformats.org/officeDocument/2006/relationships/hyperlink" Target="https://catalog.archives.gov/search?q=*:*&amp;f.ancestorNaIds=74895917&amp;sort=naIdSort%20asc" TargetMode="External"/><Relationship Id="rId2769" Type="http://schemas.openxmlformats.org/officeDocument/2006/relationships/hyperlink" Target="https://search.ancestryinstitution.com/aird/search/db.aspx?dbid=2507" TargetMode="External"/><Relationship Id="rId2976" Type="http://schemas.openxmlformats.org/officeDocument/2006/relationships/hyperlink" Target="https://www.familysearch.org/search/collection/2075263" TargetMode="External"/><Relationship Id="rId948" Type="http://schemas.openxmlformats.org/officeDocument/2006/relationships/hyperlink" Target="https://catalog.archives.gov/search?q=A4004&amp;f.ancestorNaIds=3493145&amp;sort=naIdSort%20asc" TargetMode="External"/><Relationship Id="rId1578" Type="http://schemas.openxmlformats.org/officeDocument/2006/relationships/hyperlink" Target="https://familysearch.org/search/collection/1838829" TargetMode="External"/><Relationship Id="rId1785" Type="http://schemas.openxmlformats.org/officeDocument/2006/relationships/hyperlink" Target="https://www.fold3.com/title/103/naturalization-index-ny-southern-intentions" TargetMode="External"/><Relationship Id="rId1992" Type="http://schemas.openxmlformats.org/officeDocument/2006/relationships/hyperlink" Target="https://search.ancestryinstitution.com/aird/search/db.aspx?dbid=2363" TargetMode="External"/><Relationship Id="rId2629" Type="http://schemas.openxmlformats.org/officeDocument/2006/relationships/hyperlink" Target="https://catalog.archives.gov/search-within/3245221" TargetMode="External"/><Relationship Id="rId2836" Type="http://schemas.openxmlformats.org/officeDocument/2006/relationships/hyperlink" Target="https://catalog.archives.gov/search-within/4656338" TargetMode="External"/><Relationship Id="rId77" Type="http://schemas.openxmlformats.org/officeDocument/2006/relationships/hyperlink" Target="https://catalog.archives.gov/search-within/2838489?availableOnline=true&amp;sort=naId%3Aasc" TargetMode="External"/><Relationship Id="rId808" Type="http://schemas.openxmlformats.org/officeDocument/2006/relationships/hyperlink" Target="https://catalog.archives.gov/search?q=A3807&amp;f.ancestorNaIds=2953534&amp;sort=naIdSort%20asc" TargetMode="External"/><Relationship Id="rId1438" Type="http://schemas.openxmlformats.org/officeDocument/2006/relationships/hyperlink" Target="https://familysearch.org/search/collection/2075263" TargetMode="External"/><Relationship Id="rId1645" Type="http://schemas.openxmlformats.org/officeDocument/2006/relationships/hyperlink" Target="http://www.footnote.com/title_780/" TargetMode="External"/><Relationship Id="rId1852" Type="http://schemas.openxmlformats.org/officeDocument/2006/relationships/hyperlink" Target="https://search.ancestryinstitution.com/search/db.aspx?dbid=1629" TargetMode="External"/><Relationship Id="rId2903" Type="http://schemas.openxmlformats.org/officeDocument/2006/relationships/hyperlink" Target="https://catalog.archives.gov/search?q=*:*&amp;f.ancestorNaIds=4706555&amp;sort=titleSort%20asc" TargetMode="External"/><Relationship Id="rId1505" Type="http://schemas.openxmlformats.org/officeDocument/2006/relationships/hyperlink" Target="https://catalog.archives.gov/search?q=M871&amp;f.ancestorNaIds=654543" TargetMode="External"/><Relationship Id="rId1712" Type="http://schemas.openxmlformats.org/officeDocument/2006/relationships/hyperlink" Target="https://catalog.archives.gov/search?q=M1526&amp;f.ancestorNaIds=7551473" TargetMode="External"/><Relationship Id="rId598" Type="http://schemas.openxmlformats.org/officeDocument/2006/relationships/hyperlink" Target="https://catalog.archives.gov/search?q=A3520&amp;f.ancestorNaIds=2837584&amp;sort=naIdSort%20asc" TargetMode="External"/><Relationship Id="rId2279" Type="http://schemas.openxmlformats.org/officeDocument/2006/relationships/hyperlink" Target="https://familysearch.org/search/collection/2187007" TargetMode="External"/><Relationship Id="rId2486" Type="http://schemas.openxmlformats.org/officeDocument/2006/relationships/hyperlink" Target="https://search.ancestryinstitution.com/aird/search/db.aspx?dbid=2500" TargetMode="External"/><Relationship Id="rId2693" Type="http://schemas.openxmlformats.org/officeDocument/2006/relationships/hyperlink" Target="https://search.ancestryinstitution.com/aird/search/db.aspx?dbid=2500" TargetMode="External"/><Relationship Id="rId458" Type="http://schemas.openxmlformats.org/officeDocument/2006/relationships/hyperlink" Target="https://search.ancestryinstitution.com/search/db.aspx?dbid=1277" TargetMode="External"/><Relationship Id="rId665" Type="http://schemas.openxmlformats.org/officeDocument/2006/relationships/hyperlink" Target="https://search.ancestryinstitution.com/aird/search/db.aspx?dbid=9220" TargetMode="External"/><Relationship Id="rId872" Type="http://schemas.openxmlformats.org/officeDocument/2006/relationships/hyperlink" Target="https://search.ancestryinstitution.com/aird/search/db.aspx?dbid=60501" TargetMode="External"/><Relationship Id="rId1088" Type="http://schemas.openxmlformats.org/officeDocument/2006/relationships/hyperlink" Target="https://catalog.archives.gov/search?q=*:*&amp;f.ancestorNaIds=4477137&amp;sort=naIdSort%20asc" TargetMode="External"/><Relationship Id="rId1295" Type="http://schemas.openxmlformats.org/officeDocument/2006/relationships/hyperlink" Target="https://catalog.archives.gov/search-within/654530?q=record.microformPublications.identifier%3AM533&amp;sort=title%3Aasc" TargetMode="External"/><Relationship Id="rId2139" Type="http://schemas.openxmlformats.org/officeDocument/2006/relationships/hyperlink" Target="https://catalog.archives.gov/search?q=*:*&amp;f.ancestorNaIds=594890&amp;sort=naIdSort%20asc" TargetMode="External"/><Relationship Id="rId2346" Type="http://schemas.openxmlformats.org/officeDocument/2006/relationships/hyperlink" Target="https://search.ancestryinstitution.com/aird/search/db.aspx?dbid=2130" TargetMode="External"/><Relationship Id="rId2553" Type="http://schemas.openxmlformats.org/officeDocument/2006/relationships/hyperlink" Target="https://search.ancestryinstitution.com/aird/search/db.aspx?dbid=2503" TargetMode="External"/><Relationship Id="rId2760" Type="http://schemas.openxmlformats.org/officeDocument/2006/relationships/hyperlink" Target="https://www.familysearch.org/wiki/en/Puerto_Rico,_Naturalization_Records_-_FamilySearch_Historical_Records" TargetMode="External"/><Relationship Id="rId318" Type="http://schemas.openxmlformats.org/officeDocument/2006/relationships/hyperlink" Target="http://familysearch.org/" TargetMode="External"/><Relationship Id="rId525" Type="http://schemas.openxmlformats.org/officeDocument/2006/relationships/hyperlink" Target="https://catalog.archives.gov/search?q=*:*&amp;f.ancestorNaIds=3997693&amp;sort=naIdSort%20asc" TargetMode="External"/><Relationship Id="rId732" Type="http://schemas.openxmlformats.org/officeDocument/2006/relationships/hyperlink" Target="https://ancestry.com/" TargetMode="External"/><Relationship Id="rId1155" Type="http://schemas.openxmlformats.org/officeDocument/2006/relationships/hyperlink" Target="https://familysearch.org/search/collection/1932378" TargetMode="External"/><Relationship Id="rId1362" Type="http://schemas.openxmlformats.org/officeDocument/2006/relationships/hyperlink" Target="http://www.footnote.com/title_898/" TargetMode="External"/><Relationship Id="rId2206" Type="http://schemas.openxmlformats.org/officeDocument/2006/relationships/hyperlink" Target="https://catalog.archives.gov/search?q=*:*&amp;f.ancestorNaIds=645969&amp;sort=naIdSort%20asc" TargetMode="External"/><Relationship Id="rId2413" Type="http://schemas.openxmlformats.org/officeDocument/2006/relationships/hyperlink" Target="https://search.ancestryinstitution.com/aird/search/db.aspx?dbid=1850" TargetMode="External"/><Relationship Id="rId2620" Type="http://schemas.openxmlformats.org/officeDocument/2006/relationships/hyperlink" Target="https://catalog.archives.gov/search-within/2867049" TargetMode="External"/><Relationship Id="rId1015" Type="http://schemas.openxmlformats.org/officeDocument/2006/relationships/hyperlink" Target="https://catalog.archives.gov/search?q=A4097&amp;f.ancestorNaIds=2915672&amp;sort=naIdSort%20asc" TargetMode="External"/><Relationship Id="rId1222" Type="http://schemas.openxmlformats.org/officeDocument/2006/relationships/hyperlink" Target="https://search.ancestryinstitution.com/aird/search/db.aspx?dbid=2060" TargetMode="External"/><Relationship Id="rId3187" Type="http://schemas.openxmlformats.org/officeDocument/2006/relationships/hyperlink" Target="http://www.footnote.com/title_650/" TargetMode="External"/><Relationship Id="rId3047" Type="http://schemas.openxmlformats.org/officeDocument/2006/relationships/hyperlink" Target="https://search.ancestryinstitution.com/aird/search/db.aspx?dbid=9165" TargetMode="External"/><Relationship Id="rId175" Type="http://schemas.openxmlformats.org/officeDocument/2006/relationships/hyperlink" Target="https://search.ancestryinstitution.com/aird/search/db.aspx?dbid=1277" TargetMode="External"/><Relationship Id="rId3254" Type="http://schemas.openxmlformats.org/officeDocument/2006/relationships/hyperlink" Target="https://catalog.archives.gov/search?q=*:*&amp;f.ancestorNaIds=%201274123&amp;sort=naIdSort%20asc" TargetMode="External"/><Relationship Id="rId382" Type="http://schemas.openxmlformats.org/officeDocument/2006/relationships/hyperlink" Target="https://search.ancestryinstitution.com/search/db.aspx?dbid=8987" TargetMode="External"/><Relationship Id="rId2063" Type="http://schemas.openxmlformats.org/officeDocument/2006/relationships/hyperlink" Target="http://www.fold3.com/title_765/" TargetMode="External"/><Relationship Id="rId2270" Type="http://schemas.openxmlformats.org/officeDocument/2006/relationships/hyperlink" Target="https://www.familysearch.org/search/catalog/2842204" TargetMode="External"/><Relationship Id="rId3114" Type="http://schemas.openxmlformats.org/officeDocument/2006/relationships/hyperlink" Target="https://catalog.archives.gov/search-within/7551468" TargetMode="External"/><Relationship Id="rId3321" Type="http://schemas.openxmlformats.org/officeDocument/2006/relationships/hyperlink" Target="https://search.ancestryinstitution.com/aird/search/db.aspx?dbid=2136" TargetMode="External"/><Relationship Id="rId242" Type="http://schemas.openxmlformats.org/officeDocument/2006/relationships/hyperlink" Target="https://catalog.archives.gov/search?q=*:*&amp;f.ancestorNaIds=614781" TargetMode="External"/><Relationship Id="rId2130" Type="http://schemas.openxmlformats.org/officeDocument/2006/relationships/hyperlink" Target="https://search.ancestryinstitution.com/aird/search/db.aspx?dbid=2509" TargetMode="External"/><Relationship Id="rId102" Type="http://schemas.openxmlformats.org/officeDocument/2006/relationships/hyperlink" Target="https://search.ancestryinstitution.com/aird/search/db.aspx?dbid=9112" TargetMode="External"/><Relationship Id="rId1689" Type="http://schemas.openxmlformats.org/officeDocument/2006/relationships/hyperlink" Target="https://search.ancestryinstitution.com/aird/search/db.aspx?dbid=8945" TargetMode="External"/><Relationship Id="rId1896" Type="http://schemas.openxmlformats.org/officeDocument/2006/relationships/hyperlink" Target="https://search.ancestryinstitution.com/aird/search/db.aspx?dbid=1928" TargetMode="External"/><Relationship Id="rId2947" Type="http://schemas.openxmlformats.org/officeDocument/2006/relationships/hyperlink" Target="https://search.ancestryinstitution.com/aird/search/db.aspx?dbid=2501" TargetMode="External"/><Relationship Id="rId919" Type="http://schemas.openxmlformats.org/officeDocument/2006/relationships/hyperlink" Target="https://catalog.archives.gov/search?q=A3972&amp;f.ancestorNaIds=2663405&amp;sort=naIdSort%20asc" TargetMode="External"/><Relationship Id="rId1549" Type="http://schemas.openxmlformats.org/officeDocument/2006/relationships/hyperlink" Target="https://familysearch.org/search/collection/2427901" TargetMode="External"/><Relationship Id="rId1756" Type="http://schemas.openxmlformats.org/officeDocument/2006/relationships/hyperlink" Target="https://catalog.archives.gov/search?q=M1638&amp;f.parentNaId=4486342" TargetMode="External"/><Relationship Id="rId1963" Type="http://schemas.openxmlformats.org/officeDocument/2006/relationships/hyperlink" Target="http://www.fold3.com/title_795/" TargetMode="External"/><Relationship Id="rId2807" Type="http://schemas.openxmlformats.org/officeDocument/2006/relationships/hyperlink" Target="https://catalog.archives.gov/search?q=*:*&amp;f.ancestorNaIds=4522256&amp;sort=naIdSort%20asc" TargetMode="External"/><Relationship Id="rId48" Type="http://schemas.openxmlformats.org/officeDocument/2006/relationships/hyperlink" Target="https://search.ancestryinstitution.com/aird/search/db.aspx?dbid=1277" TargetMode="External"/><Relationship Id="rId1409" Type="http://schemas.openxmlformats.org/officeDocument/2006/relationships/hyperlink" Target="https://search.ancestryinstitution.com/aird/search/db.aspx?dbid=1264" TargetMode="External"/><Relationship Id="rId1616" Type="http://schemas.openxmlformats.org/officeDocument/2006/relationships/hyperlink" Target="https://search.ancestryinstitution.com/aird/search/db.aspx?dbid=8758" TargetMode="External"/><Relationship Id="rId1823" Type="http://schemas.openxmlformats.org/officeDocument/2006/relationships/hyperlink" Target="https://search.ancestryinstitution.com/aird/search/db.aspx?dbid=7949" TargetMode="External"/><Relationship Id="rId2597" Type="http://schemas.openxmlformats.org/officeDocument/2006/relationships/hyperlink" Target="https://ancestry.com/" TargetMode="External"/><Relationship Id="rId569" Type="http://schemas.openxmlformats.org/officeDocument/2006/relationships/hyperlink" Target="https://catalog.archives.gov/search?q=A3498&amp;f.ancestorNaIds=2663468&amp;sort=naIdSort%20asc" TargetMode="External"/><Relationship Id="rId776" Type="http://schemas.openxmlformats.org/officeDocument/2006/relationships/hyperlink" Target="https://search.ancestryinstitution.com/aird/search/db.aspx?dbid=2257" TargetMode="External"/><Relationship Id="rId983" Type="http://schemas.openxmlformats.org/officeDocument/2006/relationships/hyperlink" Target="https://catalog.archives.gov/search?q=A4064&amp;f.ancestorNaIds=3174907&amp;sort=naIdSort%20asc" TargetMode="External"/><Relationship Id="rId1199" Type="http://schemas.openxmlformats.org/officeDocument/2006/relationships/hyperlink" Target="https://familysearch.org/search/collection/1932381" TargetMode="External"/><Relationship Id="rId2457" Type="http://schemas.openxmlformats.org/officeDocument/2006/relationships/hyperlink" Target="https://www.ancestry.com/search/collections/2504/" TargetMode="External"/><Relationship Id="rId2664" Type="http://schemas.openxmlformats.org/officeDocument/2006/relationships/hyperlink" Target="https://search.ancestryinstitution.com/aird/search/db.aspx?dbid=2500" TargetMode="External"/><Relationship Id="rId429" Type="http://schemas.openxmlformats.org/officeDocument/2006/relationships/hyperlink" Target="https://www.familysearch.org/search/collection/2426310" TargetMode="External"/><Relationship Id="rId636" Type="http://schemas.openxmlformats.org/officeDocument/2006/relationships/hyperlink" Target="https://catalog.archives.gov/search?q=*:*&amp;f.ancestorNaIds=2329274&amp;sort=naIdSort%20asc" TargetMode="External"/><Relationship Id="rId1059" Type="http://schemas.openxmlformats.org/officeDocument/2006/relationships/hyperlink" Target="https://search.ancestryinstitution.com/aird/search/db.aspx?dbid=9220" TargetMode="External"/><Relationship Id="rId1266" Type="http://schemas.openxmlformats.org/officeDocument/2006/relationships/hyperlink" Target="https://catalog.archives.gov/search-within/300398?page=2&amp;q=record.microformPublications.identifier%3AM404&amp;sort=title%3Aasc" TargetMode="External"/><Relationship Id="rId1473" Type="http://schemas.openxmlformats.org/officeDocument/2006/relationships/hyperlink" Target="https://familysearch.org/search/collection/1417475" TargetMode="External"/><Relationship Id="rId2317" Type="http://schemas.openxmlformats.org/officeDocument/2006/relationships/hyperlink" Target="https://catalog.archives.gov/search?q=*:*&amp;f.ancestorNaIds=1145560&amp;sort=naIdSort%20asc" TargetMode="External"/><Relationship Id="rId2871" Type="http://schemas.openxmlformats.org/officeDocument/2006/relationships/hyperlink" Target="https://search.ancestryinstitution.com/aird/search/db.aspx?dbid=2507" TargetMode="External"/><Relationship Id="rId843" Type="http://schemas.openxmlformats.org/officeDocument/2006/relationships/hyperlink" Target="https://catalog.archives.gov/search?q=A3855&amp;f.ancestorNaIds=2788573&amp;sort=naIdSort%20asc" TargetMode="External"/><Relationship Id="rId1126" Type="http://schemas.openxmlformats.org/officeDocument/2006/relationships/hyperlink" Target="https://catalog.archives.gov/search?q=M251&amp;f.ancestorNaIds=586957" TargetMode="External"/><Relationship Id="rId1680" Type="http://schemas.openxmlformats.org/officeDocument/2006/relationships/hyperlink" Target="https://search.ancestryinstitution.com/aird/search/db.aspx?dbid=1070" TargetMode="External"/><Relationship Id="rId2524" Type="http://schemas.openxmlformats.org/officeDocument/2006/relationships/hyperlink" Target="http://www.fold3.com/title_765/" TargetMode="External"/><Relationship Id="rId2731" Type="http://schemas.openxmlformats.org/officeDocument/2006/relationships/hyperlink" Target="https://catalog.archives.gov/search-within/4488749" TargetMode="External"/><Relationship Id="rId703" Type="http://schemas.openxmlformats.org/officeDocument/2006/relationships/hyperlink" Target="https://search.ancestryinstitution.com/aird/search/db.aspx?dbid=9220" TargetMode="External"/><Relationship Id="rId910" Type="http://schemas.openxmlformats.org/officeDocument/2006/relationships/hyperlink" Target="https://ancestry.com/" TargetMode="External"/><Relationship Id="rId1333" Type="http://schemas.openxmlformats.org/officeDocument/2006/relationships/hyperlink" Target="https://catalog.archives.gov/search?q=M567&amp;f.ancestorNaIds=300368" TargetMode="External"/><Relationship Id="rId1540" Type="http://schemas.openxmlformats.org/officeDocument/2006/relationships/hyperlink" Target="https://familysearch.org/search/collection/1932430" TargetMode="External"/><Relationship Id="rId1400" Type="http://schemas.openxmlformats.org/officeDocument/2006/relationships/hyperlink" Target="https://familysearch.org/search/collection/2075263" TargetMode="External"/><Relationship Id="rId3298" Type="http://schemas.openxmlformats.org/officeDocument/2006/relationships/hyperlink" Target="https://aad.archives.gov/aad/fielded-search.jsp?dt=3099&amp;cat=SB212&amp;tf=F&amp;bc=sb,sl" TargetMode="External"/><Relationship Id="rId3158" Type="http://schemas.openxmlformats.org/officeDocument/2006/relationships/hyperlink" Target="https://www.fold3.com/title_816/wwii_draft_registration_cards" TargetMode="External"/><Relationship Id="rId3365" Type="http://schemas.openxmlformats.org/officeDocument/2006/relationships/hyperlink" Target="https://www.fold3.com/title/622/wwii-german-documents-among-war-crimes-records" TargetMode="External"/><Relationship Id="rId286" Type="http://schemas.openxmlformats.org/officeDocument/2006/relationships/hyperlink" Target="https://catalog.archives.gov/search?q=*:*&amp;f.ancestorNaIds=2658546" TargetMode="External"/><Relationship Id="rId493" Type="http://schemas.openxmlformats.org/officeDocument/2006/relationships/hyperlink" Target="https://catalog.archives.gov/search?q=*:*&amp;f.ancestorNaIds=4526571&amp;sort=naIdSort%20asc" TargetMode="External"/><Relationship Id="rId2174" Type="http://schemas.openxmlformats.org/officeDocument/2006/relationships/hyperlink" Target="https://search.ancestryinstitution.com/aird/search/db.aspx?dbid=60615" TargetMode="External"/><Relationship Id="rId2381" Type="http://schemas.openxmlformats.org/officeDocument/2006/relationships/hyperlink" Target="https://catalog.archives.gov/search?q=*:*&amp;f.ancestorNaIds=1275422&amp;sort=naIdSort%20asc" TargetMode="External"/><Relationship Id="rId3018" Type="http://schemas.openxmlformats.org/officeDocument/2006/relationships/hyperlink" Target="https://familysearch.org/search/collection/2285702" TargetMode="External"/><Relationship Id="rId3225" Type="http://schemas.openxmlformats.org/officeDocument/2006/relationships/hyperlink" Target="https://www.familysearch.org/search/catalog/3029446" TargetMode="External"/><Relationship Id="rId146" Type="http://schemas.openxmlformats.org/officeDocument/2006/relationships/hyperlink" Target="https://search.ancestryinstitution.com/aird/search/db.aspx?dbid=8842" TargetMode="External"/><Relationship Id="rId353" Type="http://schemas.openxmlformats.org/officeDocument/2006/relationships/hyperlink" Target="https://catalog.archives.gov/search?q=*:*&amp;f.ancestorNaIds=4490795&amp;sort=naIdSort%20asc" TargetMode="External"/><Relationship Id="rId560" Type="http://schemas.openxmlformats.org/officeDocument/2006/relationships/hyperlink" Target="https://catalog.archives.gov/search?q=*:*&amp;f.ancestorNaIds=2839260&amp;sort=naIdSort%20asc" TargetMode="External"/><Relationship Id="rId1190" Type="http://schemas.openxmlformats.org/officeDocument/2006/relationships/hyperlink" Target="https://www.fold3.com/title/34/civil-war-service-records-cmsr-confederate-maryland" TargetMode="External"/><Relationship Id="rId2034" Type="http://schemas.openxmlformats.org/officeDocument/2006/relationships/hyperlink" Target="http://familysearch.org/" TargetMode="External"/><Relationship Id="rId2241" Type="http://schemas.openxmlformats.org/officeDocument/2006/relationships/hyperlink" Target="https://catalog.archives.gov/search?q=*:*&amp;f.ancestorNaIds=719198&amp;sort=naIdSort%20asc&amp;f.oldScope=online" TargetMode="External"/><Relationship Id="rId213" Type="http://schemas.openxmlformats.org/officeDocument/2006/relationships/hyperlink" Target="https://search.ancestryinstitution.com/aird/search/db.aspx?dbid=1928" TargetMode="External"/><Relationship Id="rId420" Type="http://schemas.openxmlformats.org/officeDocument/2006/relationships/hyperlink" Target="https://catalog.archives.gov/search?q=*:*&amp;f.ancestorNaIds=4497860&amp;sort=naIdSort%20asc" TargetMode="External"/><Relationship Id="rId1050" Type="http://schemas.openxmlformats.org/officeDocument/2006/relationships/hyperlink" Target="https://search.ancestryinstitution.com/aird/search/db.aspx?dbid=1502" TargetMode="External"/><Relationship Id="rId2101" Type="http://schemas.openxmlformats.org/officeDocument/2006/relationships/hyperlink" Target="https://search.ancestryinstitution.com/aird/search/db.aspx?dbid=1002" TargetMode="External"/><Relationship Id="rId1867" Type="http://schemas.openxmlformats.org/officeDocument/2006/relationships/hyperlink" Target="https://catalog.archives.gov/search-within/300398?page=2&amp;q=record.microformPublications.identifier%3AM1817&amp;sort=title%3Aasc" TargetMode="External"/><Relationship Id="rId2918" Type="http://schemas.openxmlformats.org/officeDocument/2006/relationships/hyperlink" Target="https://catalog.archives.gov/search-within/4728319" TargetMode="External"/><Relationship Id="rId1727" Type="http://schemas.openxmlformats.org/officeDocument/2006/relationships/hyperlink" Target="https://familysearch.org/search/collection/2296985" TargetMode="External"/><Relationship Id="rId1934" Type="http://schemas.openxmlformats.org/officeDocument/2006/relationships/hyperlink" Target="https://search.ancestryinstitution.com/aird/search/db.aspx?dbid=1192" TargetMode="External"/><Relationship Id="rId3082" Type="http://schemas.openxmlformats.org/officeDocument/2006/relationships/hyperlink" Target="https://familysearch.org/search/collection/2138589" TargetMode="External"/><Relationship Id="rId19" Type="http://schemas.openxmlformats.org/officeDocument/2006/relationships/hyperlink" Target="https://catalog.archives.gov/search-within/2733416?availableOnline=true&amp;sort=naId%3Aasc" TargetMode="External"/><Relationship Id="rId3" Type="http://schemas.openxmlformats.org/officeDocument/2006/relationships/hyperlink" Target="https://catalog.archives.gov/search-within/2922374?availableOnline=true&amp;sort=naId%3Aasc" TargetMode="External"/><Relationship Id="rId887" Type="http://schemas.openxmlformats.org/officeDocument/2006/relationships/hyperlink" Target="https://catalog.archives.gov/search?q=*:*&amp;f.ancestorNaIds=2679330&amp;sort=naIdSort%20asc" TargetMode="External"/><Relationship Id="rId2568" Type="http://schemas.openxmlformats.org/officeDocument/2006/relationships/hyperlink" Target="https://search.ancestryinstitution.com/aird/search/db.aspx?dbid=2509" TargetMode="External"/><Relationship Id="rId2775" Type="http://schemas.openxmlformats.org/officeDocument/2006/relationships/hyperlink" Target="https://search.ancestryinstitution.com/aird/search/db.aspx?dbid=1002" TargetMode="External"/><Relationship Id="rId2982" Type="http://schemas.openxmlformats.org/officeDocument/2006/relationships/hyperlink" Target="https://www.familysearch.org/wiki/en/Massachusetts_Taxation" TargetMode="External"/><Relationship Id="rId747" Type="http://schemas.openxmlformats.org/officeDocument/2006/relationships/hyperlink" Target="https://search.ancestryinstitution.com/aird/search/db.aspx?dbid=9220" TargetMode="External"/><Relationship Id="rId954" Type="http://schemas.openxmlformats.org/officeDocument/2006/relationships/hyperlink" Target="https://catalog.archives.gov/search?q=*:*&amp;f.ancestorNaIds=2827709&amp;sort=naIdSort%20asc" TargetMode="External"/><Relationship Id="rId1377" Type="http://schemas.openxmlformats.org/officeDocument/2006/relationships/hyperlink" Target="https://search.ancestryinstitution.com/aird/search/db.aspx?dbid=60583" TargetMode="External"/><Relationship Id="rId1584" Type="http://schemas.openxmlformats.org/officeDocument/2006/relationships/hyperlink" Target="https://www.ancestryinstitution.com/search/collections/61194/" TargetMode="External"/><Relationship Id="rId1791" Type="http://schemas.openxmlformats.org/officeDocument/2006/relationships/hyperlink" Target="https://familysearch.org/search/collection/1840501" TargetMode="External"/><Relationship Id="rId2428" Type="http://schemas.openxmlformats.org/officeDocument/2006/relationships/hyperlink" Target="https://search.ancestryinstitution.com/aird/search/db.aspx?dbid=1850" TargetMode="External"/><Relationship Id="rId2635" Type="http://schemas.openxmlformats.org/officeDocument/2006/relationships/hyperlink" Target="https://www.familysearch.org/search/catalog/results?count=20&amp;query=%2Bkeywords%3A3319522" TargetMode="External"/><Relationship Id="rId2842" Type="http://schemas.openxmlformats.org/officeDocument/2006/relationships/hyperlink" Target="https://catalog.archives.gov/search-within/4684505" TargetMode="External"/><Relationship Id="rId83" Type="http://schemas.openxmlformats.org/officeDocument/2006/relationships/hyperlink" Target="https://catalog.archives.gov/search-within/2699819?availableOnline=true&amp;sort=naId%3Aasc" TargetMode="External"/><Relationship Id="rId607" Type="http://schemas.openxmlformats.org/officeDocument/2006/relationships/hyperlink" Target="https://catalog.archives.gov/search?q=A3534&amp;f.ancestorNaIds=2945908&amp;sort=naIdSort%20asc" TargetMode="External"/><Relationship Id="rId814" Type="http://schemas.openxmlformats.org/officeDocument/2006/relationships/hyperlink" Target="https://catalog.archives.gov/search?q=A3817&amp;f.ancestorNaIds=2953561&amp;sort=naIdSort%20asc" TargetMode="External"/><Relationship Id="rId1237" Type="http://schemas.openxmlformats.org/officeDocument/2006/relationships/hyperlink" Target="http://www.fold3.com/title_691/civil_war_soldiers_union_la/" TargetMode="External"/><Relationship Id="rId1444" Type="http://schemas.openxmlformats.org/officeDocument/2006/relationships/hyperlink" Target="https://familysearch.org/search/collection/2075263" TargetMode="External"/><Relationship Id="rId1651" Type="http://schemas.openxmlformats.org/officeDocument/2006/relationships/hyperlink" Target="https://familysearch.org/search/collection/2299683" TargetMode="External"/><Relationship Id="rId2702" Type="http://schemas.openxmlformats.org/officeDocument/2006/relationships/hyperlink" Target="https://familysearch.org/search/collection/1389983" TargetMode="External"/><Relationship Id="rId1304" Type="http://schemas.openxmlformats.org/officeDocument/2006/relationships/hyperlink" Target="https://catalog.archives.gov/search-within/654530?q=record.microformPublications.identifier%3AM541&amp;sort=title%3Aasc" TargetMode="External"/><Relationship Id="rId1511" Type="http://schemas.openxmlformats.org/officeDocument/2006/relationships/hyperlink" Target="https://search.ancestryinstitution.com/aird/search/db.aspx?dbid=1309" TargetMode="External"/><Relationship Id="rId3269" Type="http://schemas.openxmlformats.org/officeDocument/2006/relationships/hyperlink" Target="https://fraser.stlouisfed.org/archival-collection/records-women-s-bureau-5963" TargetMode="External"/><Relationship Id="rId10" Type="http://schemas.openxmlformats.org/officeDocument/2006/relationships/hyperlink" Target="https://search.ancestryinstitution.com/aird/search/db.aspx?dbid=9220" TargetMode="External"/><Relationship Id="rId397" Type="http://schemas.openxmlformats.org/officeDocument/2006/relationships/hyperlink" Target="https://familysearch.org/search/collection/2141027" TargetMode="External"/><Relationship Id="rId2078" Type="http://schemas.openxmlformats.org/officeDocument/2006/relationships/hyperlink" Target="https://search.ancestryinstitution.com/aird/search/db.aspx?dbid=2509" TargetMode="External"/><Relationship Id="rId2285" Type="http://schemas.openxmlformats.org/officeDocument/2006/relationships/hyperlink" Target="https://search.ancestryinstitution.com/aird/search/db.aspx?dbid=1002" TargetMode="External"/><Relationship Id="rId2492" Type="http://schemas.openxmlformats.org/officeDocument/2006/relationships/hyperlink" Target="https://catalog.archives.gov/search?q=*:*&amp;f.ancestorNaIds=%202435806&amp;sort=naIdSort%20asc" TargetMode="External"/><Relationship Id="rId3129" Type="http://schemas.openxmlformats.org/officeDocument/2006/relationships/hyperlink" Target="https://catalog.archives.gov/search-within/7644720" TargetMode="External"/><Relationship Id="rId3336" Type="http://schemas.openxmlformats.org/officeDocument/2006/relationships/hyperlink" Target="https://catalog.archives.gov/search?q=T625%20Fold3" TargetMode="External"/><Relationship Id="rId257" Type="http://schemas.openxmlformats.org/officeDocument/2006/relationships/hyperlink" Target="https://search.ancestryinstitution.com/aird/search/db.aspx?dbid=9178" TargetMode="External"/><Relationship Id="rId464" Type="http://schemas.openxmlformats.org/officeDocument/2006/relationships/hyperlink" Target="https://search.ancestryinstitution.com/search/db.aspx?dbid=1247" TargetMode="External"/><Relationship Id="rId1094" Type="http://schemas.openxmlformats.org/officeDocument/2006/relationships/hyperlink" Target="https://catalog.archives.gov/search?q=C73&amp;f.ancestorNaIds=1661893" TargetMode="External"/><Relationship Id="rId2145" Type="http://schemas.openxmlformats.org/officeDocument/2006/relationships/hyperlink" Target="https://search.ancestryinstitution.com/aird/search/db.aspx?dbid=60422" TargetMode="External"/><Relationship Id="rId117" Type="http://schemas.openxmlformats.org/officeDocument/2006/relationships/hyperlink" Target="https://catalog.archives.gov/search-within/2838411?availableOnline=true&amp;sort=naId%3Aasc" TargetMode="External"/><Relationship Id="rId671" Type="http://schemas.openxmlformats.org/officeDocument/2006/relationships/hyperlink" Target="https://search.ancestryinstitution.com/search/db.aspx?dbid=1075" TargetMode="External"/><Relationship Id="rId2352" Type="http://schemas.openxmlformats.org/officeDocument/2006/relationships/hyperlink" Target="https://search.ancestryinstitution.com/aird/search/db.aspx?dbid=1174" TargetMode="External"/><Relationship Id="rId324" Type="http://schemas.openxmlformats.org/officeDocument/2006/relationships/hyperlink" Target="http://familysearch.org/" TargetMode="External"/><Relationship Id="rId531" Type="http://schemas.openxmlformats.org/officeDocument/2006/relationships/hyperlink" Target="https://familysearch.org/search/collection/2072112" TargetMode="External"/><Relationship Id="rId1161" Type="http://schemas.openxmlformats.org/officeDocument/2006/relationships/hyperlink" Target="https://search.ancestryinstitution.com/aird/search/db.aspx?dbid=2322" TargetMode="External"/><Relationship Id="rId2005" Type="http://schemas.openxmlformats.org/officeDocument/2006/relationships/hyperlink" Target="https://www.fold3.com/title/5/amistad-supreme-court-records" TargetMode="External"/><Relationship Id="rId2212" Type="http://schemas.openxmlformats.org/officeDocument/2006/relationships/hyperlink" Target="https://search.ancestryinstitution.com/aird/search/db.aspx?dbid=2507" TargetMode="External"/><Relationship Id="rId1021" Type="http://schemas.openxmlformats.org/officeDocument/2006/relationships/hyperlink" Target="https://catalog.archives.gov/search?q=A4107&amp;f.ancestorNaIds=2953576&amp;sort=naIdSort%20asc" TargetMode="External"/><Relationship Id="rId1978" Type="http://schemas.openxmlformats.org/officeDocument/2006/relationships/hyperlink" Target="https://catalog.archives.gov/search?q=*:*&amp;f.ancestorNaIds=4486821&amp;sort=naIdSort%20asc" TargetMode="External"/><Relationship Id="rId3193" Type="http://schemas.openxmlformats.org/officeDocument/2006/relationships/hyperlink" Target="http://www.footnote.com/title_650/" TargetMode="External"/><Relationship Id="rId1838" Type="http://schemas.openxmlformats.org/officeDocument/2006/relationships/hyperlink" Target="https://search.ancestryinstitution.com/aird/search/db.aspx?dbid=5309" TargetMode="External"/><Relationship Id="rId3053" Type="http://schemas.openxmlformats.org/officeDocument/2006/relationships/hyperlink" Target="https://search.ancestryinstitution.com/aird/search/db.aspx?dbid=1850" TargetMode="External"/><Relationship Id="rId3260" Type="http://schemas.openxmlformats.org/officeDocument/2006/relationships/hyperlink" Target="https://search.ancestryinstitution.com/aird/search/db.aspx?dbid=8810" TargetMode="External"/><Relationship Id="rId181" Type="http://schemas.openxmlformats.org/officeDocument/2006/relationships/hyperlink" Target="https://catalog.archives.gov/search-within/3720055?availableOnline=true&amp;sort=naId%3Aasc" TargetMode="External"/><Relationship Id="rId1905" Type="http://schemas.openxmlformats.org/officeDocument/2006/relationships/hyperlink" Target="https://search.ancestryinstitution.com/aird/search/db.aspx?dbid=8756" TargetMode="External"/><Relationship Id="rId3120" Type="http://schemas.openxmlformats.org/officeDocument/2006/relationships/hyperlink" Target="https://search.ancestryinstitution.com/aird/search/db.aspx?dbid=60593" TargetMode="External"/><Relationship Id="rId998" Type="http://schemas.openxmlformats.org/officeDocument/2006/relationships/hyperlink" Target="https://catalog.archives.gov/search?q=A4079&amp;f.ancestorNaIds=3000104&amp;sort=naIdSort%20asc" TargetMode="External"/><Relationship Id="rId2679" Type="http://schemas.openxmlformats.org/officeDocument/2006/relationships/hyperlink" Target="https://search.ancestryinstitution.com/aird/search/db.aspx?dbid=2500" TargetMode="External"/><Relationship Id="rId2886" Type="http://schemas.openxmlformats.org/officeDocument/2006/relationships/hyperlink" Target="https://catalog.archives.gov/search?q=*:*&amp;f.ancestorNaIds=4699298&amp;sort=naIdSort%20asc" TargetMode="External"/><Relationship Id="rId858" Type="http://schemas.openxmlformats.org/officeDocument/2006/relationships/hyperlink" Target="https://catalog.archives.gov/search?q=A3875&amp;f.ancestorNaIds=2790778&amp;sort=naIdSort%20asc" TargetMode="External"/><Relationship Id="rId1488" Type="http://schemas.openxmlformats.org/officeDocument/2006/relationships/hyperlink" Target="https://familysearch.org/search/collection/1803698" TargetMode="External"/><Relationship Id="rId1695" Type="http://schemas.openxmlformats.org/officeDocument/2006/relationships/hyperlink" Target="https://search.ancestryinstitution.com/aird/search/db.aspx?dbid=1082" TargetMode="External"/><Relationship Id="rId2539" Type="http://schemas.openxmlformats.org/officeDocument/2006/relationships/hyperlink" Target="https://search.ancestryinstitution.com/aird/search/db.aspx?dbid=2503" TargetMode="External"/><Relationship Id="rId2746" Type="http://schemas.openxmlformats.org/officeDocument/2006/relationships/hyperlink" Target="https://catalog.archives.gov/search?q=*:*&amp;f.ancestorNaIds=4499451&amp;sort=titleSort%20asc" TargetMode="External"/><Relationship Id="rId2953" Type="http://schemas.openxmlformats.org/officeDocument/2006/relationships/hyperlink" Target="https://search.ancestryinstitution.com/aird/search/db.aspx?dbid=2501" TargetMode="External"/><Relationship Id="rId718" Type="http://schemas.openxmlformats.org/officeDocument/2006/relationships/hyperlink" Target="https://catalog.archives.gov/search?q=*:*&amp;f.ancestorNaIds=2842853&amp;sort=naIdSort%20asc" TargetMode="External"/><Relationship Id="rId925" Type="http://schemas.openxmlformats.org/officeDocument/2006/relationships/hyperlink" Target="https://catalog.archives.gov/search?q=A3977&amp;f.ancestorNaIds=2681752&amp;sort=naIdSort%20asc" TargetMode="External"/><Relationship Id="rId1348" Type="http://schemas.openxmlformats.org/officeDocument/2006/relationships/hyperlink" Target="https://familysearch.org/search/collection/1916234" TargetMode="External"/><Relationship Id="rId1555" Type="http://schemas.openxmlformats.org/officeDocument/2006/relationships/hyperlink" Target="https://search.ancestryinstitution.com/aird/search/db.aspx?dbid=2246" TargetMode="External"/><Relationship Id="rId1762" Type="http://schemas.openxmlformats.org/officeDocument/2006/relationships/hyperlink" Target="https://familysearch.org/search/collection/1854313" TargetMode="External"/><Relationship Id="rId2606" Type="http://schemas.openxmlformats.org/officeDocument/2006/relationships/hyperlink" Target="https://familysearch.org/search/collection/2613134" TargetMode="External"/><Relationship Id="rId1208" Type="http://schemas.openxmlformats.org/officeDocument/2006/relationships/hyperlink" Target="https://www.fold3.com/title/62/continental-congress-misc" TargetMode="External"/><Relationship Id="rId1415" Type="http://schemas.openxmlformats.org/officeDocument/2006/relationships/hyperlink" Target="https://search.ancestryinstitution.com/aird/search/db.aspx?dbid=1264" TargetMode="External"/><Relationship Id="rId2813" Type="http://schemas.openxmlformats.org/officeDocument/2006/relationships/hyperlink" Target="https://www.familysearch.org/search/catalog/results?count=20&amp;query=%2Bkeywords%3A4526774" TargetMode="External"/><Relationship Id="rId54" Type="http://schemas.openxmlformats.org/officeDocument/2006/relationships/hyperlink" Target="https://search.ancestryinstitution.com/aird/search/db.aspx?dbid=1070" TargetMode="External"/><Relationship Id="rId1622" Type="http://schemas.openxmlformats.org/officeDocument/2006/relationships/hyperlink" Target="https://www.fold3.com/title/112/naturalizations-ma" TargetMode="External"/><Relationship Id="rId2189" Type="http://schemas.openxmlformats.org/officeDocument/2006/relationships/hyperlink" Target="https://catalog.archives.gov/search-within/619209" TargetMode="External"/><Relationship Id="rId2396" Type="http://schemas.openxmlformats.org/officeDocument/2006/relationships/hyperlink" Target="https://familysearch.org/search/collection/2302948" TargetMode="External"/><Relationship Id="rId368" Type="http://schemas.openxmlformats.org/officeDocument/2006/relationships/hyperlink" Target="https://familysearch.org/search/collection/2427229" TargetMode="External"/><Relationship Id="rId575" Type="http://schemas.openxmlformats.org/officeDocument/2006/relationships/hyperlink" Target="https://search.ancestryinstitution.com/aird/search/db.aspx?dbid=9118" TargetMode="External"/><Relationship Id="rId782" Type="http://schemas.openxmlformats.org/officeDocument/2006/relationships/hyperlink" Target="https://search.ancestryinstitution.com/aird/search/db.aspx?dbid=9127" TargetMode="External"/><Relationship Id="rId2049" Type="http://schemas.openxmlformats.org/officeDocument/2006/relationships/hyperlink" Target="https://catalog.archives.gov/search?q=*:*&amp;f.ancestorNaIds=305392&amp;sort=naIdSort%20asc" TargetMode="External"/><Relationship Id="rId2256" Type="http://schemas.openxmlformats.org/officeDocument/2006/relationships/hyperlink" Target="https://search.ancestryinstitution.com/aird/search/db.aspx?dbid=2508" TargetMode="External"/><Relationship Id="rId2463" Type="http://schemas.openxmlformats.org/officeDocument/2006/relationships/hyperlink" Target="https://search.ancestryinstitution.com/aird/search/db.aspx?dbid=2504" TargetMode="External"/><Relationship Id="rId2670" Type="http://schemas.openxmlformats.org/officeDocument/2006/relationships/hyperlink" Target="https://search.ancestryinstitution.com/aird/search/db.aspx?dbid=2501" TargetMode="External"/><Relationship Id="rId3307" Type="http://schemas.openxmlformats.org/officeDocument/2006/relationships/hyperlink" Target="https://aad.archives.gov/aad/series-description.jsp?s=3360&amp;cat=SB209&amp;bc=sb,sl" TargetMode="External"/><Relationship Id="rId228" Type="http://schemas.openxmlformats.org/officeDocument/2006/relationships/hyperlink" Target="http://www.footnote.com/title_865/" TargetMode="External"/><Relationship Id="rId435" Type="http://schemas.openxmlformats.org/officeDocument/2006/relationships/hyperlink" Target="https://catalog.archives.gov/search?q=A3416&amp;f.ancestorNaIds=4477224" TargetMode="External"/><Relationship Id="rId642" Type="http://schemas.openxmlformats.org/officeDocument/2006/relationships/hyperlink" Target="https://catalog.archives.gov/search?q=*:*&amp;f.ancestorNaIds=2363727&amp;sort=naIdSort%20asc" TargetMode="External"/><Relationship Id="rId1065" Type="http://schemas.openxmlformats.org/officeDocument/2006/relationships/hyperlink" Target="https://search.ancestryinstitution.com/aird/search/db.aspx?dbid=1042" TargetMode="External"/><Relationship Id="rId1272" Type="http://schemas.openxmlformats.org/officeDocument/2006/relationships/hyperlink" Target="https://familysearch.org/search/collection/1932408" TargetMode="External"/><Relationship Id="rId2116" Type="http://schemas.openxmlformats.org/officeDocument/2006/relationships/hyperlink" Target="http://www.footnote.com/title_838/" TargetMode="External"/><Relationship Id="rId2323" Type="http://schemas.openxmlformats.org/officeDocument/2006/relationships/hyperlink" Target="https://catalog.archives.gov/search?q=*:*&amp;f.ancestorNaIds=1150702&amp;sort=naIdSort%20asc" TargetMode="External"/><Relationship Id="rId2530" Type="http://schemas.openxmlformats.org/officeDocument/2006/relationships/hyperlink" Target="https://search.ancestryinstitution.com/aird/search/db.aspx?dbid=1002" TargetMode="External"/><Relationship Id="rId502" Type="http://schemas.openxmlformats.org/officeDocument/2006/relationships/hyperlink" Target="https://catalog.archives.gov/search?q=*:*&amp;f.ancestorNaIds=4477836&amp;sort=naIdSort%20asc" TargetMode="External"/><Relationship Id="rId1132" Type="http://schemas.openxmlformats.org/officeDocument/2006/relationships/hyperlink" Target="https://search.ancestryinstitution.com/aird/search/db.aspx?dbid=8679" TargetMode="External"/><Relationship Id="rId3097" Type="http://schemas.openxmlformats.org/officeDocument/2006/relationships/hyperlink" Target="https://catalog.archives.gov/search-within/7551461" TargetMode="External"/><Relationship Id="rId1949" Type="http://schemas.openxmlformats.org/officeDocument/2006/relationships/hyperlink" Target="https://www.fold3.com/title/633/flossenburg-entry-registers" TargetMode="External"/><Relationship Id="rId3164" Type="http://schemas.openxmlformats.org/officeDocument/2006/relationships/hyperlink" Target="https://search.ancestryinstitution.com/aird/search/db.aspx?dbid=2238" TargetMode="External"/><Relationship Id="rId292" Type="http://schemas.openxmlformats.org/officeDocument/2006/relationships/hyperlink" Target="https://catalog.archives.gov/search?q=*:*&amp;f.ancestorNaIds=4478151" TargetMode="External"/><Relationship Id="rId1809" Type="http://schemas.openxmlformats.org/officeDocument/2006/relationships/hyperlink" Target="https://search.ancestryinstitution.com/aird/search/db.aspx?dbid=1082" TargetMode="External"/><Relationship Id="rId3371" Type="http://schemas.openxmlformats.org/officeDocument/2006/relationships/hyperlink" Target="http://familysearch.org/" TargetMode="External"/><Relationship Id="rId2180" Type="http://schemas.openxmlformats.org/officeDocument/2006/relationships/hyperlink" Target="https://search.ancestryinstitution.com/aird/search/db.aspx?dbid=60614" TargetMode="External"/><Relationship Id="rId3024" Type="http://schemas.openxmlformats.org/officeDocument/2006/relationships/hyperlink" Target="http://familysearch.org/" TargetMode="External"/><Relationship Id="rId3231" Type="http://schemas.openxmlformats.org/officeDocument/2006/relationships/hyperlink" Target="https://www.familysearch.org/search/catalog/4092161" TargetMode="External"/><Relationship Id="rId152" Type="http://schemas.openxmlformats.org/officeDocument/2006/relationships/hyperlink" Target="https://search.ancestryinstitution.com/aird/search/db.aspx?dbid=5309" TargetMode="External"/><Relationship Id="rId2040" Type="http://schemas.openxmlformats.org/officeDocument/2006/relationships/hyperlink" Target="https://catalog.archives.gov/search?q=United%20States%20Colored%20Troops%20Infantry%20Organizations&amp;f.ancestorNaIds=300398" TargetMode="External"/><Relationship Id="rId2997" Type="http://schemas.openxmlformats.org/officeDocument/2006/relationships/hyperlink" Target="https://search.ancestryinstitution.com/aird/search/db.aspx?dbid=60593" TargetMode="External"/><Relationship Id="rId969" Type="http://schemas.openxmlformats.org/officeDocument/2006/relationships/hyperlink" Target="https://catalog.archives.gov/search?q=A4038&amp;f.ancestorNaIds=3281795&amp;sort=naIdSort%20asc" TargetMode="External"/><Relationship Id="rId1599" Type="http://schemas.openxmlformats.org/officeDocument/2006/relationships/hyperlink" Target="https://www.fold3.com/title/620/wwii-nuernberg-interrogation-records/description" TargetMode="External"/><Relationship Id="rId1459" Type="http://schemas.openxmlformats.org/officeDocument/2006/relationships/hyperlink" Target="https://familysearch.org/search/collection/2075263" TargetMode="External"/><Relationship Id="rId2857" Type="http://schemas.openxmlformats.org/officeDocument/2006/relationships/hyperlink" Target="https://www.fold3.com/title_816/wwii_draft_registration_cards" TargetMode="External"/><Relationship Id="rId98" Type="http://schemas.openxmlformats.org/officeDocument/2006/relationships/hyperlink" Target="https://catalog.archives.gov/search-within/2953525?availableOnline=true&amp;sort=naId%3Aasc" TargetMode="External"/><Relationship Id="rId829" Type="http://schemas.openxmlformats.org/officeDocument/2006/relationships/hyperlink" Target="https://search.ancestryinstitution.com/aird/search/db.aspx?dbid=8842" TargetMode="External"/><Relationship Id="rId1666" Type="http://schemas.openxmlformats.org/officeDocument/2006/relationships/hyperlink" Target="https://familysearch.org/search/collection/1803785" TargetMode="External"/><Relationship Id="rId1873" Type="http://schemas.openxmlformats.org/officeDocument/2006/relationships/hyperlink" Target="https://search.ancestry.com/search/db.aspx?dbid=1107" TargetMode="External"/><Relationship Id="rId2717" Type="http://schemas.openxmlformats.org/officeDocument/2006/relationships/hyperlink" Target="https://catalog.archives.gov/search?q=*:*&amp;f.ancestorNaIds=4477678&amp;sort=naIdSort%20asc" TargetMode="External"/><Relationship Id="rId2924" Type="http://schemas.openxmlformats.org/officeDocument/2006/relationships/hyperlink" Target="https://catalog.archives.gov/search?q=*:*&amp;f.ancestorNaIds=5020052&amp;sort=naIdSort%20asc" TargetMode="External"/><Relationship Id="rId1319" Type="http://schemas.openxmlformats.org/officeDocument/2006/relationships/hyperlink" Target="http://www.fold3.com/title_812/" TargetMode="External"/><Relationship Id="rId1526" Type="http://schemas.openxmlformats.org/officeDocument/2006/relationships/hyperlink" Target="https://www.fold3.com/title/496/war-of-1812-prize-cases-southern-dist-court-ny" TargetMode="External"/><Relationship Id="rId1733" Type="http://schemas.openxmlformats.org/officeDocument/2006/relationships/hyperlink" Target="https://search.ancestryinstitution.com/aird/search/db.aspx?dbid=1554" TargetMode="External"/><Relationship Id="rId1940" Type="http://schemas.openxmlformats.org/officeDocument/2006/relationships/hyperlink" Target="http://www.fold3.com/title_758/omgus_finance_division_investigations_and/" TargetMode="External"/><Relationship Id="rId25" Type="http://schemas.openxmlformats.org/officeDocument/2006/relationships/hyperlink" Target="https://catalog.archives.gov/search-within/2897168?availableOnline=true&amp;sort=naId%3Aasc" TargetMode="External"/><Relationship Id="rId1800" Type="http://schemas.openxmlformats.org/officeDocument/2006/relationships/hyperlink" Target="https://catalog.archives.gov/search?q=M1746&amp;f.ancestorNaIds=605894" TargetMode="External"/><Relationship Id="rId479" Type="http://schemas.openxmlformats.org/officeDocument/2006/relationships/hyperlink" Target="https://www.familysearch.org/search/collection/2038112" TargetMode="External"/><Relationship Id="rId686" Type="http://schemas.openxmlformats.org/officeDocument/2006/relationships/hyperlink" Target="https://search.ancestryinstitution.com/aird/search/db.aspx?dbid=5309" TargetMode="External"/><Relationship Id="rId893" Type="http://schemas.openxmlformats.org/officeDocument/2006/relationships/hyperlink" Target="https://catalog.archives.gov/search?q=A3942&amp;f.ancestorNaIds=2790560&amp;sort=naIdSort%20asc" TargetMode="External"/><Relationship Id="rId2367" Type="http://schemas.openxmlformats.org/officeDocument/2006/relationships/hyperlink" Target="https://catalog.archives.gov/search?q=*:*&amp;f.ancestorNaIds=1257262&amp;sort=naIdSort%20asc" TargetMode="External"/><Relationship Id="rId2574" Type="http://schemas.openxmlformats.org/officeDocument/2006/relationships/hyperlink" Target="https://search.ancestryinstitution.com/aird/search/db.aspx?dbid=2505" TargetMode="External"/><Relationship Id="rId2781" Type="http://schemas.openxmlformats.org/officeDocument/2006/relationships/hyperlink" Target="https://search.ancestryinstitution.com/aird/search/db.aspx?dbid=2509" TargetMode="External"/><Relationship Id="rId339" Type="http://schemas.openxmlformats.org/officeDocument/2006/relationships/hyperlink" Target="https://catalog.archives.gov/search?q=*:*&amp;f.ancestorNaIds=83422149&amp;sort=naIdSort%20asc" TargetMode="External"/><Relationship Id="rId546" Type="http://schemas.openxmlformats.org/officeDocument/2006/relationships/hyperlink" Target="https://catalog.archives.gov/search?q=*:*&amp;f.parentNaId=4051458" TargetMode="External"/><Relationship Id="rId753" Type="http://schemas.openxmlformats.org/officeDocument/2006/relationships/hyperlink" Target="https://search.ancestryinstitution.com/aird/search/db.aspx?dbid=9220" TargetMode="External"/><Relationship Id="rId1176" Type="http://schemas.openxmlformats.org/officeDocument/2006/relationships/hyperlink" Target="https://familysearch.org/search/collection/1932139" TargetMode="External"/><Relationship Id="rId1383" Type="http://schemas.openxmlformats.org/officeDocument/2006/relationships/hyperlink" Target="https://search.ancestryinstitution.com/aird/search/db.aspx?dbid=1268" TargetMode="External"/><Relationship Id="rId2227" Type="http://schemas.openxmlformats.org/officeDocument/2006/relationships/hyperlink" Target="https://familysearch.org/search/collection/2285702" TargetMode="External"/><Relationship Id="rId2434" Type="http://schemas.openxmlformats.org/officeDocument/2006/relationships/hyperlink" Target="https://search.ancestryinstitution.com/aird/search/db.aspx?dbid=2502" TargetMode="External"/><Relationship Id="rId406" Type="http://schemas.openxmlformats.org/officeDocument/2006/relationships/hyperlink" Target="https://catalog.archives.gov/search?q=*:*&amp;f.ancestorNaIds=4492740&amp;sort=naIdSort%20asc" TargetMode="External"/><Relationship Id="rId960" Type="http://schemas.openxmlformats.org/officeDocument/2006/relationships/hyperlink" Target="https://search.ancestryinstitution.com/aird/search/db.aspx?dbid=8722" TargetMode="External"/><Relationship Id="rId1036" Type="http://schemas.openxmlformats.org/officeDocument/2006/relationships/hyperlink" Target="https://catalog.archives.gov/search-within/3190100" TargetMode="External"/><Relationship Id="rId1243" Type="http://schemas.openxmlformats.org/officeDocument/2006/relationships/hyperlink" Target="https://catalog.archives.gov/search-within/300398?page=2&amp;q=record.microformPublications.identifier%3AM398&amp;sort=title%3Aasc" TargetMode="External"/><Relationship Id="rId1590" Type="http://schemas.openxmlformats.org/officeDocument/2006/relationships/hyperlink" Target="https://search.ancestryinstitution.com/search/db.aspx?dbid=1629" TargetMode="External"/><Relationship Id="rId2641" Type="http://schemas.openxmlformats.org/officeDocument/2006/relationships/hyperlink" Target="https://search.ancestryinstitution.com/aird/search/db.aspx?dbid=2506" TargetMode="External"/><Relationship Id="rId613" Type="http://schemas.openxmlformats.org/officeDocument/2006/relationships/hyperlink" Target="https://search.ancestryinstitution.com/aird/search/db.aspx?dbid=9220" TargetMode="External"/><Relationship Id="rId820" Type="http://schemas.openxmlformats.org/officeDocument/2006/relationships/hyperlink" Target="https://search.ancestryinstitution.com/aird/search/db.aspx?dbid=9126" TargetMode="External"/><Relationship Id="rId1450" Type="http://schemas.openxmlformats.org/officeDocument/2006/relationships/hyperlink" Target="https://familysearch.org/search/collection/2075263" TargetMode="External"/><Relationship Id="rId2501" Type="http://schemas.openxmlformats.org/officeDocument/2006/relationships/hyperlink" Target="https://catalog.archives.gov/search?q=*:*&amp;f.ancestorNaIds=2439851&amp;sort=naIdSort%20asc" TargetMode="External"/><Relationship Id="rId1103" Type="http://schemas.openxmlformats.org/officeDocument/2006/relationships/hyperlink" Target="https://search.ancestryinstitution.com/aird/search/db.aspx?dbid=7734" TargetMode="External"/><Relationship Id="rId1310" Type="http://schemas.openxmlformats.org/officeDocument/2006/relationships/hyperlink" Target="https://catalog.archives.gov/search-within/654530?q=record.microformPublications.identifier%3AM544&amp;sort=title%3Aasc" TargetMode="External"/><Relationship Id="rId3068" Type="http://schemas.openxmlformats.org/officeDocument/2006/relationships/hyperlink" Target="https://familysearch.org/search/collection/2613134" TargetMode="External"/><Relationship Id="rId3275" Type="http://schemas.openxmlformats.org/officeDocument/2006/relationships/hyperlink" Target="http://familysearch.org/" TargetMode="External"/><Relationship Id="rId196" Type="http://schemas.openxmlformats.org/officeDocument/2006/relationships/hyperlink" Target="https://catalog.archives.gov/search?q=M846&amp;ancestorNaId=2791166" TargetMode="External"/><Relationship Id="rId2084" Type="http://schemas.openxmlformats.org/officeDocument/2006/relationships/hyperlink" Target="https://search.ancestryinstitution.com/aird/search/db.aspx?dbid=2509" TargetMode="External"/><Relationship Id="rId2291" Type="http://schemas.openxmlformats.org/officeDocument/2006/relationships/hyperlink" Target="https://familysearch.org/search/collection/2187007" TargetMode="External"/><Relationship Id="rId3135" Type="http://schemas.openxmlformats.org/officeDocument/2006/relationships/hyperlink" Target="https://www.fold3.com/title_816/wwii_draft_registration_cards" TargetMode="External"/><Relationship Id="rId3342" Type="http://schemas.openxmlformats.org/officeDocument/2006/relationships/hyperlink" Target="https://search.ancestryinstitution.com/aird/search/db.aspx?dbid=6224" TargetMode="External"/><Relationship Id="rId263" Type="http://schemas.openxmlformats.org/officeDocument/2006/relationships/hyperlink" Target="https://search.ancestryinstitution.com/aird/search/db.aspx?dbid=1174" TargetMode="External"/><Relationship Id="rId470" Type="http://schemas.openxmlformats.org/officeDocument/2006/relationships/hyperlink" Target="https://www.familysearch.org/search/collection/2426314" TargetMode="External"/><Relationship Id="rId2151" Type="http://schemas.openxmlformats.org/officeDocument/2006/relationships/hyperlink" Target="https://search.ancestryinstitution.com/aird/search/db.aspx?dbid=1002" TargetMode="External"/><Relationship Id="rId3202" Type="http://schemas.openxmlformats.org/officeDocument/2006/relationships/hyperlink" Target="https://catalog.archives.gov/search?q=*:*&amp;f.ancestorNaIds=23904630&amp;sort=naIdSort%20asc" TargetMode="External"/><Relationship Id="rId123" Type="http://schemas.openxmlformats.org/officeDocument/2006/relationships/hyperlink" Target="https://search.ancestryinstitution.com/aird/search/db.aspx?dbid=8722" TargetMode="External"/><Relationship Id="rId330" Type="http://schemas.openxmlformats.org/officeDocument/2006/relationships/hyperlink" Target="http://familysearch.org/" TargetMode="External"/><Relationship Id="rId2011" Type="http://schemas.openxmlformats.org/officeDocument/2006/relationships/hyperlink" Target="https://search.ancestryinstitution.com/aird/search/db.aspx?dbid=1217" TargetMode="External"/><Relationship Id="rId2968" Type="http://schemas.openxmlformats.org/officeDocument/2006/relationships/hyperlink" Target="https://catalog.archives.gov/search?q=*:*&amp;f.ancestorNaIds=5687057&amp;sort=naIdSort%20asc" TargetMode="External"/><Relationship Id="rId1777" Type="http://schemas.openxmlformats.org/officeDocument/2006/relationships/hyperlink" Target="https://catalog.archives.gov/search?q=m1658&amp;f.ancestorNaIds=566157" TargetMode="External"/><Relationship Id="rId1984" Type="http://schemas.openxmlformats.org/officeDocument/2006/relationships/hyperlink" Target="https://catalog.archives.gov/search-within/300398?page=2&amp;q=record.microformPublications.identifier%3AM1993&amp;sort=naId%3Aasc" TargetMode="External"/><Relationship Id="rId2828" Type="http://schemas.openxmlformats.org/officeDocument/2006/relationships/hyperlink" Target="https://catalog.archives.gov/search?q=*:*&amp;f.ancestorNaIds=4597268&amp;sort=naIdSort%20asc" TargetMode="External"/><Relationship Id="rId69" Type="http://schemas.openxmlformats.org/officeDocument/2006/relationships/hyperlink" Target="https://catalog.archives.gov/search-within/2839401?availableOnline=true&amp;sort=naId%3Aasc" TargetMode="External"/><Relationship Id="rId1637" Type="http://schemas.openxmlformats.org/officeDocument/2006/relationships/hyperlink" Target="http://www.footnote.com/title_832/" TargetMode="External"/><Relationship Id="rId1844" Type="http://schemas.openxmlformats.org/officeDocument/2006/relationships/hyperlink" Target="https://catalog.archives.gov/search?q=*:*&amp;f.ancestorNaIds=2589163&amp;sort=naIdSort%20asc" TargetMode="External"/><Relationship Id="rId1704" Type="http://schemas.openxmlformats.org/officeDocument/2006/relationships/hyperlink" Target="https://www.fold3.com/title/117/naturalizations-pa-eastern" TargetMode="External"/><Relationship Id="rId1911" Type="http://schemas.openxmlformats.org/officeDocument/2006/relationships/hyperlink" Target="https://search.ancestryinstitution.com/aird/search/db.aspx?dbid=2982" TargetMode="External"/><Relationship Id="rId797" Type="http://schemas.openxmlformats.org/officeDocument/2006/relationships/hyperlink" Target="http://ancestry.com/" TargetMode="External"/><Relationship Id="rId2478" Type="http://schemas.openxmlformats.org/officeDocument/2006/relationships/hyperlink" Target="https://search.ancestryinstitution.com/aird/search/db.aspx?dbid=2500" TargetMode="External"/><Relationship Id="rId1287" Type="http://schemas.openxmlformats.org/officeDocument/2006/relationships/hyperlink" Target="https://search.ancestryinstitution.com/aird/search/db.aspx?dbid=2981" TargetMode="External"/><Relationship Id="rId2685" Type="http://schemas.openxmlformats.org/officeDocument/2006/relationships/hyperlink" Target="https://search.ancestryinstitution.com/aird/search/db.aspx?dbid=1850" TargetMode="External"/><Relationship Id="rId2892" Type="http://schemas.openxmlformats.org/officeDocument/2006/relationships/hyperlink" Target="https://search.ancestryinstitution.com/aird/search/db.aspx?dbid=2507" TargetMode="External"/><Relationship Id="rId657" Type="http://schemas.openxmlformats.org/officeDocument/2006/relationships/hyperlink" Target="https://catalog.archives.gov/search?q=*:*&amp;f.ancestorNaIds=2945797&amp;sort=naIdSort%20asc" TargetMode="External"/><Relationship Id="rId864" Type="http://schemas.openxmlformats.org/officeDocument/2006/relationships/hyperlink" Target="https://search.ancestryinstitution.com/aird/search/db.aspx?dbid=9127" TargetMode="External"/><Relationship Id="rId1494" Type="http://schemas.openxmlformats.org/officeDocument/2006/relationships/hyperlink" Target="http://www.fold3.com/title_784/" TargetMode="External"/><Relationship Id="rId2338" Type="http://schemas.openxmlformats.org/officeDocument/2006/relationships/hyperlink" Target="https://familysearch.org/search/collection/2040533" TargetMode="External"/><Relationship Id="rId2545" Type="http://schemas.openxmlformats.org/officeDocument/2006/relationships/hyperlink" Target="https://search.ancestryinstitution.com/aird/search/db.aspx?dbid=2503" TargetMode="External"/><Relationship Id="rId2752" Type="http://schemas.openxmlformats.org/officeDocument/2006/relationships/hyperlink" Target="https://catalog.archives.gov/search?q=*:*&amp;f.ancestorNaIds=4499493&amp;sort=titleSort%20asc" TargetMode="External"/><Relationship Id="rId517" Type="http://schemas.openxmlformats.org/officeDocument/2006/relationships/hyperlink" Target="https://search.ancestryinstitution.com/search/db.aspx?dbid=7488" TargetMode="External"/><Relationship Id="rId724" Type="http://schemas.openxmlformats.org/officeDocument/2006/relationships/hyperlink" Target="https://search.ancestryinstitution.com/aird/search/db.aspx?dbid=9220" TargetMode="External"/><Relationship Id="rId931" Type="http://schemas.openxmlformats.org/officeDocument/2006/relationships/hyperlink" Target="https://search.ancestryinstitution.com/aird/search/db.aspx?dbid=8842" TargetMode="External"/><Relationship Id="rId1147" Type="http://schemas.openxmlformats.org/officeDocument/2006/relationships/hyperlink" Target="https://search.ancestryinstitution.com/aird/search/db.aspx?dbid=2322" TargetMode="External"/><Relationship Id="rId1354" Type="http://schemas.openxmlformats.org/officeDocument/2006/relationships/hyperlink" Target="https://search.ancestryinstitution.com/aird/search/db.aspx?dbid=1264" TargetMode="External"/><Relationship Id="rId1561" Type="http://schemas.openxmlformats.org/officeDocument/2006/relationships/hyperlink" Target="https://catalog.archives.gov/search?q=M1104&amp;f.ancestorNaIds=2110769&amp;f.oldScope=online" TargetMode="External"/><Relationship Id="rId2405" Type="http://schemas.openxmlformats.org/officeDocument/2006/relationships/hyperlink" Target="https://search.ancestryinstitution.com/aird/search/db.aspx?dbid=2500" TargetMode="External"/><Relationship Id="rId2612" Type="http://schemas.openxmlformats.org/officeDocument/2006/relationships/hyperlink" Target="https://search.ancestryinstitution.com/aird/search/db.aspx?dbid=2504" TargetMode="External"/><Relationship Id="rId60" Type="http://schemas.openxmlformats.org/officeDocument/2006/relationships/hyperlink" Target="https://search.ancestryinstitution.com/aird/search/db.aspx?dbid=8945" TargetMode="External"/><Relationship Id="rId1007" Type="http://schemas.openxmlformats.org/officeDocument/2006/relationships/hyperlink" Target="https://catalog.archives.gov/search?q=A4085&amp;f.ancestorNaIds=3000048&amp;sort=naIdSort%20asc" TargetMode="External"/><Relationship Id="rId1214" Type="http://schemas.openxmlformats.org/officeDocument/2006/relationships/hyperlink" Target="https://familysearch.org/search/collection/1937233" TargetMode="External"/><Relationship Id="rId1421" Type="http://schemas.openxmlformats.org/officeDocument/2006/relationships/hyperlink" Target="https://search.ancestryinstitution.com/aird/search/db.aspx?dbid=1264" TargetMode="External"/><Relationship Id="rId3179" Type="http://schemas.openxmlformats.org/officeDocument/2006/relationships/hyperlink" Target="http://www.footnote.com/title_650/" TargetMode="External"/><Relationship Id="rId3386" Type="http://schemas.openxmlformats.org/officeDocument/2006/relationships/hyperlink" Target="https://search.ancestryinstitution.com/aird/search/db.aspx?dbid=2179" TargetMode="External"/><Relationship Id="rId2195" Type="http://schemas.openxmlformats.org/officeDocument/2006/relationships/hyperlink" Target="https://search.ancestryinstitution.com/aird/search/db.aspx?dbid=1002" TargetMode="External"/><Relationship Id="rId3039" Type="http://schemas.openxmlformats.org/officeDocument/2006/relationships/hyperlink" Target="https://search.ancestryinstitution.com/aird/search/db.aspx?dbid=2502" TargetMode="External"/><Relationship Id="rId3246" Type="http://schemas.openxmlformats.org/officeDocument/2006/relationships/hyperlink" Target="https://catalog.archives.gov/search?q=*:*&amp;f.ancestorNaIds=83086744&amp;sort=naIdSort%20asc" TargetMode="External"/><Relationship Id="rId167" Type="http://schemas.openxmlformats.org/officeDocument/2006/relationships/hyperlink" Target="https://search.ancestryinstitution.com/aird/search/db.aspx?dbid=9220" TargetMode="External"/><Relationship Id="rId374" Type="http://schemas.openxmlformats.org/officeDocument/2006/relationships/hyperlink" Target="https://catalog.archives.gov/search?q=A3380&amp;f.ancestorNaIds=1552680" TargetMode="External"/><Relationship Id="rId581" Type="http://schemas.openxmlformats.org/officeDocument/2006/relationships/hyperlink" Target="https://search.ancestryinstitution.com/aird/search/db.aspx?dbid=5324" TargetMode="External"/><Relationship Id="rId2055" Type="http://schemas.openxmlformats.org/officeDocument/2006/relationships/hyperlink" Target="http://www.footnote.com/title_667/" TargetMode="External"/><Relationship Id="rId2262" Type="http://schemas.openxmlformats.org/officeDocument/2006/relationships/hyperlink" Target="https://www.familysearch.org/wiki/en/Missouri_Naturalization_and_Citizenship" TargetMode="External"/><Relationship Id="rId3106" Type="http://schemas.openxmlformats.org/officeDocument/2006/relationships/hyperlink" Target="https://catalog.archives.gov/search-within/7551465" TargetMode="External"/><Relationship Id="rId234" Type="http://schemas.openxmlformats.org/officeDocument/2006/relationships/hyperlink" Target="http://www.footnote.com/title_927/" TargetMode="External"/><Relationship Id="rId3313" Type="http://schemas.openxmlformats.org/officeDocument/2006/relationships/hyperlink" Target="https://familysearch.org/search/collection/2110784" TargetMode="External"/><Relationship Id="rId441" Type="http://schemas.openxmlformats.org/officeDocument/2006/relationships/hyperlink" Target="https://catalog.archives.gov/search?q=*:*&amp;f.ancestorNaIds=4497929&amp;sort=naIdSort%20asc" TargetMode="External"/><Relationship Id="rId1071" Type="http://schemas.openxmlformats.org/officeDocument/2006/relationships/hyperlink" Target="https://catalog.archives.gov/search?q=A4196&amp;f.ancestorNaIds=3535490&amp;sort=naIdSort%20asc" TargetMode="External"/><Relationship Id="rId2122" Type="http://schemas.openxmlformats.org/officeDocument/2006/relationships/hyperlink" Target="https://familysearch.org/search/collection/2170637" TargetMode="External"/><Relationship Id="rId301" Type="http://schemas.openxmlformats.org/officeDocument/2006/relationships/hyperlink" Target="https://www.familysearch.org/wiki/en/Alaska,_Naturalization_Records_-_FamilySearch_Historical_Records" TargetMode="External"/><Relationship Id="rId1888" Type="http://schemas.openxmlformats.org/officeDocument/2006/relationships/hyperlink" Target="https://catalog.archives.gov/search-within/300398?page=2&amp;q=record.microformPublications.identifier%3AM1823&amp;sort=naId%3Aasc" TargetMode="External"/><Relationship Id="rId2939" Type="http://schemas.openxmlformats.org/officeDocument/2006/relationships/hyperlink" Target="https://search.ancestryinstitution.com/aird/search/db.aspx?dbid=2251" TargetMode="External"/><Relationship Id="rId1748" Type="http://schemas.openxmlformats.org/officeDocument/2006/relationships/hyperlink" Target="https://search.ancestryinstitution.com/aird/search/db.aspx?dbid=1193" TargetMode="External"/><Relationship Id="rId1955" Type="http://schemas.openxmlformats.org/officeDocument/2006/relationships/hyperlink" Target="https://catalog.archives.gov/search?q=M1943%20Fold3&amp;f.level=fileunit&amp;f.recordGroupNoCollectionId=260&amp;f.oldScope=online" TargetMode="External"/><Relationship Id="rId3170" Type="http://schemas.openxmlformats.org/officeDocument/2006/relationships/hyperlink" Target="https://search.ancestryinstitution.com/aird/search/db.aspx?dbid=2238" TargetMode="External"/><Relationship Id="rId1608" Type="http://schemas.openxmlformats.org/officeDocument/2006/relationships/hyperlink" Target="https://search.ancestryinstitution.com/search/db.aspx?dbid=1629" TargetMode="External"/><Relationship Id="rId1815" Type="http://schemas.openxmlformats.org/officeDocument/2006/relationships/hyperlink" Target="https://familysearch.org/search/collection/2299398" TargetMode="External"/><Relationship Id="rId3030" Type="http://schemas.openxmlformats.org/officeDocument/2006/relationships/hyperlink" Target="https://search.ancestryinstitution.com/aird/search/db.aspx?dbid=2502" TargetMode="External"/><Relationship Id="rId2589" Type="http://schemas.openxmlformats.org/officeDocument/2006/relationships/hyperlink" Target="https://search.ancestryinstitution.com/aird/search/db.aspx?dbid=3014" TargetMode="External"/><Relationship Id="rId2796" Type="http://schemas.openxmlformats.org/officeDocument/2006/relationships/hyperlink" Target="https://search.ancestryinstitution.com/aird/search/db.aspx?dbid=2512" TargetMode="External"/><Relationship Id="rId768" Type="http://schemas.openxmlformats.org/officeDocument/2006/relationships/hyperlink" Target="https://catalog.archives.gov/search?q=A3723&amp;f.ancestorNaIds=2734701&amp;sort=naIdSort%20asc" TargetMode="External"/><Relationship Id="rId975" Type="http://schemas.openxmlformats.org/officeDocument/2006/relationships/hyperlink" Target="https://catalog.archives.gov/search?q=A4051&amp;f.ancestorNaIds=2953522&amp;sort=naIdSort%20asc" TargetMode="External"/><Relationship Id="rId1398" Type="http://schemas.openxmlformats.org/officeDocument/2006/relationships/hyperlink" Target="https://familysearch.org/search/collection/2075263" TargetMode="External"/><Relationship Id="rId2449" Type="http://schemas.openxmlformats.org/officeDocument/2006/relationships/hyperlink" Target="https://www.familysearch.org/wiki/en/Arkansas,_Second_Registration_Draft_Cards_-_FamilySearch_Historical_Records" TargetMode="External"/><Relationship Id="rId2656" Type="http://schemas.openxmlformats.org/officeDocument/2006/relationships/hyperlink" Target="https://catalog.archives.gov/search-within/3477998" TargetMode="External"/><Relationship Id="rId2863" Type="http://schemas.openxmlformats.org/officeDocument/2006/relationships/hyperlink" Target="https://search.ancestryinstitution.com/aird/search/db.aspx?dbid=2507" TargetMode="External"/><Relationship Id="rId628" Type="http://schemas.openxmlformats.org/officeDocument/2006/relationships/hyperlink" Target="https://search.ancestryinstitution.com/aird/search/db.aspx?dbid=2257" TargetMode="External"/><Relationship Id="rId835" Type="http://schemas.openxmlformats.org/officeDocument/2006/relationships/hyperlink" Target="https://catalog.archives.gov/search?q=A3846&amp;f.ancestorNaIds=2674817&amp;sort=naIdSort%20asc" TargetMode="External"/><Relationship Id="rId1258" Type="http://schemas.openxmlformats.org/officeDocument/2006/relationships/hyperlink" Target="https://familysearch.org/search/collection/1932416" TargetMode="External"/><Relationship Id="rId1465" Type="http://schemas.openxmlformats.org/officeDocument/2006/relationships/hyperlink" Target="https://familysearch.org/search/collection/2075263" TargetMode="External"/><Relationship Id="rId1672" Type="http://schemas.openxmlformats.org/officeDocument/2006/relationships/hyperlink" Target="https://catalog.archives.gov/search?q=M1469&amp;f.ancestorNaIds=580580" TargetMode="External"/><Relationship Id="rId2309" Type="http://schemas.openxmlformats.org/officeDocument/2006/relationships/hyperlink" Target="https://familysearch.org/search/collection/2173973" TargetMode="External"/><Relationship Id="rId2516" Type="http://schemas.openxmlformats.org/officeDocument/2006/relationships/hyperlink" Target="https://search.ancestryinstitution.com/aird/search/db.aspx?dbid=2503" TargetMode="External"/><Relationship Id="rId2723" Type="http://schemas.openxmlformats.org/officeDocument/2006/relationships/hyperlink" Target="https://catalog.archives.gov/search-within/4481610" TargetMode="External"/><Relationship Id="rId1118" Type="http://schemas.openxmlformats.org/officeDocument/2006/relationships/hyperlink" Target="https://familysearch.org/search/collection/1880762" TargetMode="External"/><Relationship Id="rId1325" Type="http://schemas.openxmlformats.org/officeDocument/2006/relationships/hyperlink" Target="http://www.fold3.com/title_793/" TargetMode="External"/><Relationship Id="rId1532" Type="http://schemas.openxmlformats.org/officeDocument/2006/relationships/hyperlink" Target="https://www.fold3.com/title/489/wwii-allied-military-conferences" TargetMode="External"/><Relationship Id="rId2930" Type="http://schemas.openxmlformats.org/officeDocument/2006/relationships/hyperlink" Target="https://search.ancestryinstitution.com/aird/search/db.aspx?dbid=2238" TargetMode="External"/><Relationship Id="rId902" Type="http://schemas.openxmlformats.org/officeDocument/2006/relationships/hyperlink" Target="https://catalog.archives.gov/search?q=A3952&amp;f.ancestorNaIds=2788733&amp;sort=naIdSort%20asc" TargetMode="External"/><Relationship Id="rId31" Type="http://schemas.openxmlformats.org/officeDocument/2006/relationships/hyperlink" Target="https://ancestry.com/" TargetMode="External"/><Relationship Id="rId2099" Type="http://schemas.openxmlformats.org/officeDocument/2006/relationships/hyperlink" Target="https://catalog.archives.gov/search-within/576250" TargetMode="External"/><Relationship Id="rId278" Type="http://schemas.openxmlformats.org/officeDocument/2006/relationships/hyperlink" Target="https://catalog.archives.gov/search?q=*:*&amp;f.ancestorNaIds=2292826" TargetMode="External"/><Relationship Id="rId3357" Type="http://schemas.openxmlformats.org/officeDocument/2006/relationships/hyperlink" Target="https://search.ancestryinstitution.com/aird/search/db.aspx?dbid=1071" TargetMode="External"/><Relationship Id="rId485" Type="http://schemas.openxmlformats.org/officeDocument/2006/relationships/hyperlink" Target="https://catalog.archives.gov/search?q=*:*&amp;f.ancestorNaIds=4492658&amp;sort=naIdSort%20asc" TargetMode="External"/><Relationship Id="rId692" Type="http://schemas.openxmlformats.org/officeDocument/2006/relationships/hyperlink" Target="https://catalog.archives.gov/search?q=*:*&amp;f.ancestorNaIds=2364047&amp;sort=naIdSort%20asc" TargetMode="External"/><Relationship Id="rId2166" Type="http://schemas.openxmlformats.org/officeDocument/2006/relationships/hyperlink" Target="https://search.ancestryinstitution.com/aird/search/db.aspx?dbid=1002" TargetMode="External"/><Relationship Id="rId2373" Type="http://schemas.openxmlformats.org/officeDocument/2006/relationships/hyperlink" Target="https://catalog.archives.gov/search?q=*:*&amp;f.ancestorNaIds=1261544&amp;sort=naIdSort%20asc" TargetMode="External"/><Relationship Id="rId2580" Type="http://schemas.openxmlformats.org/officeDocument/2006/relationships/hyperlink" Target="https://search.ancestryinstitution.com/aird/search/db.aspx?dbid=2509" TargetMode="External"/><Relationship Id="rId3217" Type="http://schemas.openxmlformats.org/officeDocument/2006/relationships/hyperlink" Target="https://www.familysearch.org/search/collection/2075263" TargetMode="External"/><Relationship Id="rId138" Type="http://schemas.openxmlformats.org/officeDocument/2006/relationships/hyperlink" Target="https://search.ancestryinstitution.com/search/db.aspx?dbid=8722" TargetMode="External"/><Relationship Id="rId345" Type="http://schemas.openxmlformats.org/officeDocument/2006/relationships/hyperlink" Target="https://catalog.archives.gov/search?q=*:*&amp;f.ancestorNaIds=1251997&amp;sort=naIdSort%20asc" TargetMode="External"/><Relationship Id="rId552" Type="http://schemas.openxmlformats.org/officeDocument/2006/relationships/hyperlink" Target="https://www.familysearch.org/search/collection/2443349" TargetMode="External"/><Relationship Id="rId1182" Type="http://schemas.openxmlformats.org/officeDocument/2006/relationships/hyperlink" Target="https://search.ancestryinstitution.com/aird/search/db.aspx?dbid=2322" TargetMode="External"/><Relationship Id="rId2026" Type="http://schemas.openxmlformats.org/officeDocument/2006/relationships/hyperlink" Target="http://fold3.com/" TargetMode="External"/><Relationship Id="rId2233" Type="http://schemas.openxmlformats.org/officeDocument/2006/relationships/hyperlink" Target="http://www.fold3.com/title_749/final_statements_18621899/" TargetMode="External"/><Relationship Id="rId2440" Type="http://schemas.openxmlformats.org/officeDocument/2006/relationships/hyperlink" Target="https://catalog.archives.gov/search?q=*:*&amp;f.ancestorNaIds=2169763&amp;sort=naIdSort%20asc" TargetMode="External"/><Relationship Id="rId205" Type="http://schemas.openxmlformats.org/officeDocument/2006/relationships/hyperlink" Target="https://catalog.archives.gov/search?q=M1783&amp;f.ancestorNaIds=1077435" TargetMode="External"/><Relationship Id="rId412" Type="http://schemas.openxmlformats.org/officeDocument/2006/relationships/hyperlink" Target="https://catalog.archives.gov/search?q=*:*&amp;f.ancestorNaIds=4492838&amp;sort=naIdSort%20asc" TargetMode="External"/><Relationship Id="rId1042" Type="http://schemas.openxmlformats.org/officeDocument/2006/relationships/hyperlink" Target="https://catalog.archives.gov/search?q=A4145&amp;f.ancestorNaIds=3249881&amp;sort=naIdSort%20asc" TargetMode="External"/><Relationship Id="rId2300" Type="http://schemas.openxmlformats.org/officeDocument/2006/relationships/hyperlink" Target="https://familysearch.org/search/collection/2173973" TargetMode="External"/><Relationship Id="rId1999" Type="http://schemas.openxmlformats.org/officeDocument/2006/relationships/hyperlink" Target="https://www.fold3.com/title/676/civil-war-service-records-cmsr-union-1st-ny-volunteer-engineers" TargetMode="External"/><Relationship Id="rId1859" Type="http://schemas.openxmlformats.org/officeDocument/2006/relationships/hyperlink" Target="https://catalog.archives.gov/search-within/300398?page=2&amp;q=record.microformPublications.identifier%3AM1801&amp;sort=title%3Aasc" TargetMode="External"/><Relationship Id="rId3074" Type="http://schemas.openxmlformats.org/officeDocument/2006/relationships/hyperlink" Target="https://www.familysearch.org/wiki/en/Missouri_Naturalization_and_Citizenship" TargetMode="External"/><Relationship Id="rId1719" Type="http://schemas.openxmlformats.org/officeDocument/2006/relationships/hyperlink" Target="https://www.fold3.com/title/119/naturalizations-pa-western" TargetMode="External"/><Relationship Id="rId1926" Type="http://schemas.openxmlformats.org/officeDocument/2006/relationships/hyperlink" Target="https://search.ancestryinstitution.com/aird/search/db.aspx?dbid=1562" TargetMode="External"/><Relationship Id="rId3281" Type="http://schemas.openxmlformats.org/officeDocument/2006/relationships/hyperlink" Target="https://familysearch.org/search/collection/2127907" TargetMode="External"/><Relationship Id="rId2090" Type="http://schemas.openxmlformats.org/officeDocument/2006/relationships/hyperlink" Target="https://search.ancestryinstitution.com/aird/search/db.aspx?dbid=2494" TargetMode="External"/><Relationship Id="rId3141" Type="http://schemas.openxmlformats.org/officeDocument/2006/relationships/hyperlink" Target="https://www.fold3.com/title_816/wwii_draft_registration_cards" TargetMode="External"/><Relationship Id="rId3001" Type="http://schemas.openxmlformats.org/officeDocument/2006/relationships/hyperlink" Target="https://catalog.archives.gov/search?q=*:*&amp;f.ancestorNaIds=5752907&amp;sort=naIdSort%20asc" TargetMode="External"/><Relationship Id="rId879" Type="http://schemas.openxmlformats.org/officeDocument/2006/relationships/hyperlink" Target="https://catalog.archives.gov/search?q=A3927&amp;f.ancestorNaIds=2699827&amp;sort=naIdSort%20asc" TargetMode="External"/><Relationship Id="rId2767" Type="http://schemas.openxmlformats.org/officeDocument/2006/relationships/hyperlink" Target="https://search.ancestryinstitution.com/aird/search/db.aspx?dbid=2507" TargetMode="External"/><Relationship Id="rId739" Type="http://schemas.openxmlformats.org/officeDocument/2006/relationships/hyperlink" Target="https://ancestry.com/" TargetMode="External"/><Relationship Id="rId1369" Type="http://schemas.openxmlformats.org/officeDocument/2006/relationships/hyperlink" Target="https://www.fold3.com/title/19/census-us-federal-1860" TargetMode="External"/><Relationship Id="rId1576" Type="http://schemas.openxmlformats.org/officeDocument/2006/relationships/hyperlink" Target="https://www.fold3.com/title/99/naturalization-index-md" TargetMode="External"/><Relationship Id="rId2974" Type="http://schemas.openxmlformats.org/officeDocument/2006/relationships/hyperlink" Target="https://www.familysearch.org/search/collection/2075263" TargetMode="External"/><Relationship Id="rId946" Type="http://schemas.openxmlformats.org/officeDocument/2006/relationships/hyperlink" Target="https://search.ancestryinstitution.com/aird/search/db.aspx?dbid=1042" TargetMode="External"/><Relationship Id="rId1229" Type="http://schemas.openxmlformats.org/officeDocument/2006/relationships/hyperlink" Target="https://familysearch.org/search/collection/1932407" TargetMode="External"/><Relationship Id="rId1783" Type="http://schemas.openxmlformats.org/officeDocument/2006/relationships/hyperlink" Target="https://familysearch.org/search/collection/2043782" TargetMode="External"/><Relationship Id="rId1990" Type="http://schemas.openxmlformats.org/officeDocument/2006/relationships/hyperlink" Target="https://catalog.archives.gov/search?q=M1995&amp;f.ancestorNaIds=1127790" TargetMode="External"/><Relationship Id="rId2627" Type="http://schemas.openxmlformats.org/officeDocument/2006/relationships/hyperlink" Target="https://catalog.archives.gov/search?q=*:*&amp;f.ancestorNaIds=2945893&amp;sort=naIdSort%20asc" TargetMode="External"/><Relationship Id="rId2834" Type="http://schemas.openxmlformats.org/officeDocument/2006/relationships/hyperlink" Target="https://catalog.archives.gov/search?q=*:*&amp;f.ancestorNaIds=4656204&amp;sort=naIdSort%20asc" TargetMode="External"/><Relationship Id="rId75" Type="http://schemas.openxmlformats.org/officeDocument/2006/relationships/hyperlink" Target="https://catalog.archives.gov/search-within/2838468?availableOnline=true&amp;sort=naId%3Aasc" TargetMode="External"/><Relationship Id="rId806" Type="http://schemas.openxmlformats.org/officeDocument/2006/relationships/hyperlink" Target="https://search.ancestryinstitution.com/aird/search/db.aspx?dbid=9127" TargetMode="External"/><Relationship Id="rId1436" Type="http://schemas.openxmlformats.org/officeDocument/2006/relationships/hyperlink" Target="https://familysearch.org/search/collection/2075263" TargetMode="External"/><Relationship Id="rId1643" Type="http://schemas.openxmlformats.org/officeDocument/2006/relationships/hyperlink" Target="https://search.ancestryinstitution.com/aird/search/db.aspx?dbid=1218" TargetMode="External"/><Relationship Id="rId1850" Type="http://schemas.openxmlformats.org/officeDocument/2006/relationships/hyperlink" Target="https://search.ancestryinstitution.com/aird/search/db.aspx?dbid=2344" TargetMode="External"/><Relationship Id="rId2901" Type="http://schemas.openxmlformats.org/officeDocument/2006/relationships/hyperlink" Target="https://catalog.archives.gov/search?q=*:*&amp;f.ancestorNaIds=4706550&amp;sort=titleSort%20asc" TargetMode="External"/><Relationship Id="rId1503" Type="http://schemas.openxmlformats.org/officeDocument/2006/relationships/hyperlink" Target="https://www.fold3.com/title/453/photos-eisenhower" TargetMode="External"/><Relationship Id="rId1710" Type="http://schemas.openxmlformats.org/officeDocument/2006/relationships/hyperlink" Target="https://search.ancestryinstitution.com/aird/search/db.aspx?dbid=1629" TargetMode="External"/><Relationship Id="rId389" Type="http://schemas.openxmlformats.org/officeDocument/2006/relationships/hyperlink" Target="https://search.ancestryinstitution.com/aird/search/db.aspx?dbid=1027" TargetMode="External"/><Relationship Id="rId596" Type="http://schemas.openxmlformats.org/officeDocument/2006/relationships/hyperlink" Target="https://search.ancestryinstitution.com/aird/search/db.aspx?dbid=9220" TargetMode="External"/><Relationship Id="rId2277" Type="http://schemas.openxmlformats.org/officeDocument/2006/relationships/hyperlink" Target="https://catalog.archives.gov/search?q=*:*&amp;f.ancestorNaIds=788695&amp;sort=naIdSort%20asc" TargetMode="External"/><Relationship Id="rId2484" Type="http://schemas.openxmlformats.org/officeDocument/2006/relationships/hyperlink" Target="https://search.ancestryinstitution.com/aird/search/db.aspx?dbid=2503" TargetMode="External"/><Relationship Id="rId2691" Type="http://schemas.openxmlformats.org/officeDocument/2006/relationships/hyperlink" Target="https://search.ancestryinstitution.com/aird/search/db.aspx?dbid=2509" TargetMode="External"/><Relationship Id="rId3328" Type="http://schemas.openxmlformats.org/officeDocument/2006/relationships/hyperlink" Target="https://catalog.archives.gov/search?q=T623&amp;f.recordGroupNoCollectionId=29" TargetMode="External"/><Relationship Id="rId249" Type="http://schemas.openxmlformats.org/officeDocument/2006/relationships/hyperlink" Target="https://search.ancestryinstitution.com/aird/search/db.aspx?dbid=2033" TargetMode="External"/><Relationship Id="rId456" Type="http://schemas.openxmlformats.org/officeDocument/2006/relationships/hyperlink" Target="https://catalog.archives.gov/search?q=*:*&amp;f.ancestorNaIds=4499005&amp;sort=naIdSort%20asc" TargetMode="External"/><Relationship Id="rId663" Type="http://schemas.openxmlformats.org/officeDocument/2006/relationships/hyperlink" Target="https://search.ancestry.com/search/db.aspx?dbid=8679" TargetMode="External"/><Relationship Id="rId870" Type="http://schemas.openxmlformats.org/officeDocument/2006/relationships/hyperlink" Target="https://catalog.archives.gov/search?q=A3917&amp;f.ancestorNaIds=3039654&amp;sort=naIdSort%20asc" TargetMode="External"/><Relationship Id="rId1086" Type="http://schemas.openxmlformats.org/officeDocument/2006/relationships/hyperlink" Target="https://catalog.archives.gov/search?q=*:*&amp;f.ancestorNaIds=4477138&amp;sort=naIdSort%20asc" TargetMode="External"/><Relationship Id="rId1293" Type="http://schemas.openxmlformats.org/officeDocument/2006/relationships/hyperlink" Target="https://search.ancestry.com/search/db.aspx?dbid=2159" TargetMode="External"/><Relationship Id="rId2137" Type="http://schemas.openxmlformats.org/officeDocument/2006/relationships/hyperlink" Target="https://catalog.archives.gov/search?q=*:*&amp;f.ancestorNaIds=592779&amp;sort=naIdSort%20asc" TargetMode="External"/><Relationship Id="rId2344" Type="http://schemas.openxmlformats.org/officeDocument/2006/relationships/hyperlink" Target="https://search.ancestryinstitution.com/aird/search/db.aspx?dbid=2131" TargetMode="External"/><Relationship Id="rId2551" Type="http://schemas.openxmlformats.org/officeDocument/2006/relationships/hyperlink" Target="https://search.ancestryinstitution.com/aird/search/db.aspx?dbid=2503" TargetMode="External"/><Relationship Id="rId109" Type="http://schemas.openxmlformats.org/officeDocument/2006/relationships/hyperlink" Target="https://catalog.archives.gov/search-within/2825770?availableOnline=true&amp;sort=naId%3Aasc" TargetMode="External"/><Relationship Id="rId316" Type="http://schemas.openxmlformats.org/officeDocument/2006/relationships/hyperlink" Target="http://familysearch.org/" TargetMode="External"/><Relationship Id="rId523" Type="http://schemas.openxmlformats.org/officeDocument/2006/relationships/hyperlink" Target="https://catalog.archives.gov/search?q=*:*&amp;f.ancestorNaIds=4492725&amp;sort=naIdSort%20asc" TargetMode="External"/><Relationship Id="rId968" Type="http://schemas.openxmlformats.org/officeDocument/2006/relationships/hyperlink" Target="https://search.ancestryinstitution.com/aird/search/db.aspx?dbid=9220" TargetMode="External"/><Relationship Id="rId1153" Type="http://schemas.openxmlformats.org/officeDocument/2006/relationships/hyperlink" Target="https://www.fold3.com/title/40/civil-war-service-records-cmsr-confederate-tennessee" TargetMode="External"/><Relationship Id="rId1598" Type="http://schemas.openxmlformats.org/officeDocument/2006/relationships/hyperlink" Target="https://catalog.archives.gov/search?q=M1270%20fold3&amp;f.oldScope=online&amp;f.recordGroupNoCollectionId=238" TargetMode="External"/><Relationship Id="rId2204" Type="http://schemas.openxmlformats.org/officeDocument/2006/relationships/hyperlink" Target="https://search.ancestryinstitution.com/aird/search/db.aspx?dbid=1187" TargetMode="External"/><Relationship Id="rId2649" Type="http://schemas.openxmlformats.org/officeDocument/2006/relationships/hyperlink" Target="https://catalog.archives.gov/search-within/3477950" TargetMode="External"/><Relationship Id="rId2856" Type="http://schemas.openxmlformats.org/officeDocument/2006/relationships/hyperlink" Target="https://catalog.archives.gov/search-within/4693889" TargetMode="External"/><Relationship Id="rId97" Type="http://schemas.openxmlformats.org/officeDocument/2006/relationships/hyperlink" Target="https://search.ancestryinstitution.com/aird/search/db.aspx?dbid=9220" TargetMode="External"/><Relationship Id="rId730" Type="http://schemas.openxmlformats.org/officeDocument/2006/relationships/hyperlink" Target="https://catalog.archives.gov/search?q=A3667&amp;f.ancestorNaIds=2867034&amp;sort=naIdSort%20asc" TargetMode="External"/><Relationship Id="rId828" Type="http://schemas.openxmlformats.org/officeDocument/2006/relationships/hyperlink" Target="https://catalog.archives.gov/search?q=A3829&amp;f.ancestorNaIds=2983387&amp;sort=naIdSort%20asc" TargetMode="External"/><Relationship Id="rId1013" Type="http://schemas.openxmlformats.org/officeDocument/2006/relationships/hyperlink" Target="https://catalog.archives.gov/search?q=A4093&amp;f.ancestorNaIds=3002715&amp;sort=naIdSort%20asc" TargetMode="External"/><Relationship Id="rId1360" Type="http://schemas.openxmlformats.org/officeDocument/2006/relationships/hyperlink" Target="https://catalog.archives.gov/search?q=M619&amp;f.ancestorNaIds=300368" TargetMode="External"/><Relationship Id="rId1458" Type="http://schemas.openxmlformats.org/officeDocument/2006/relationships/hyperlink" Target="https://search.ancestryinstitution.com/aird/search/db.aspx?dbid=1264" TargetMode="External"/><Relationship Id="rId1665" Type="http://schemas.openxmlformats.org/officeDocument/2006/relationships/hyperlink" Target="https://search.ancestryinstitution.com/aird/search/db.aspx?dbid=1075" TargetMode="External"/><Relationship Id="rId1872" Type="http://schemas.openxmlformats.org/officeDocument/2006/relationships/hyperlink" Target="https://www.fold3.com/title_678/civil_war_soldiers_union_colored_troops_artillery" TargetMode="External"/><Relationship Id="rId2411" Type="http://schemas.openxmlformats.org/officeDocument/2006/relationships/hyperlink" Target="https://search.ancestryinstitution.com/aird/search/db.aspx?dbid=1850" TargetMode="External"/><Relationship Id="rId2509" Type="http://schemas.openxmlformats.org/officeDocument/2006/relationships/hyperlink" Target="https://catalog.archives.gov/search?q=*:*&amp;f.ancestorNaIds=%202521156&amp;sort=naIdSort%20asc" TargetMode="External"/><Relationship Id="rId2716" Type="http://schemas.openxmlformats.org/officeDocument/2006/relationships/hyperlink" Target="https://search.ancestryinstitution.com/aird/search/db.aspx?dbid=2508" TargetMode="External"/><Relationship Id="rId1220" Type="http://schemas.openxmlformats.org/officeDocument/2006/relationships/hyperlink" Target="https://www.fold3.com/title/486/wwi-state-dept-records" TargetMode="External"/><Relationship Id="rId1318" Type="http://schemas.openxmlformats.org/officeDocument/2006/relationships/hyperlink" Target="https://catalog.archives.gov/search-within/654530?q=record.microformPublications.identifier%3AM550&amp;sort=title%3Aasc" TargetMode="External"/><Relationship Id="rId1525" Type="http://schemas.openxmlformats.org/officeDocument/2006/relationships/hyperlink" Target="https://www.fold3.com/title/483/us-expeditionary-force-north-russia/description" TargetMode="External"/><Relationship Id="rId2923" Type="http://schemas.openxmlformats.org/officeDocument/2006/relationships/hyperlink" Target="https://catalog.archives.gov/search-within/5019134" TargetMode="External"/><Relationship Id="rId1732" Type="http://schemas.openxmlformats.org/officeDocument/2006/relationships/hyperlink" Target="https://familysearch.org/search/collection/1834334" TargetMode="External"/><Relationship Id="rId3185" Type="http://schemas.openxmlformats.org/officeDocument/2006/relationships/hyperlink" Target="http://www.footnote.com/title_650/" TargetMode="External"/><Relationship Id="rId24" Type="http://schemas.openxmlformats.org/officeDocument/2006/relationships/hyperlink" Target="https://search.ancestryinstitution.com/aird/search/db.aspx?dbid=9220" TargetMode="External"/><Relationship Id="rId2299" Type="http://schemas.openxmlformats.org/officeDocument/2006/relationships/hyperlink" Target="https://search.ancestryinstitution.com/aird/search/db.aspx?dbid=2500" TargetMode="External"/><Relationship Id="rId3045" Type="http://schemas.openxmlformats.org/officeDocument/2006/relationships/hyperlink" Target="https://catalog.archives.gov/search?q=*:*&amp;f.ancestorNaIds=6120858&amp;sort=naIdSort%20asc" TargetMode="External"/><Relationship Id="rId3252" Type="http://schemas.openxmlformats.org/officeDocument/2006/relationships/hyperlink" Target="https://catalog.archives.gov/search?q=*:*&amp;f.ancestorNaIds=118764600&amp;sort=naIdSort%20asc" TargetMode="External"/><Relationship Id="rId173" Type="http://schemas.openxmlformats.org/officeDocument/2006/relationships/hyperlink" Target="https://search.ancestryinstitution.com/aird/search/db.aspx?dbid=1277" TargetMode="External"/><Relationship Id="rId380" Type="http://schemas.openxmlformats.org/officeDocument/2006/relationships/hyperlink" Target="https://www.fold3.com/title/900/card-file-of-japanese-works-requiring-protection" TargetMode="External"/><Relationship Id="rId2061" Type="http://schemas.openxmlformats.org/officeDocument/2006/relationships/hyperlink" Target="https://search.ancestryinstitution.com/aird/search/db.aspx?dbid=1002" TargetMode="External"/><Relationship Id="rId3112" Type="http://schemas.openxmlformats.org/officeDocument/2006/relationships/hyperlink" Target="https://catalog.archives.gov/search-within/7551467" TargetMode="External"/><Relationship Id="rId240" Type="http://schemas.openxmlformats.org/officeDocument/2006/relationships/hyperlink" Target="https://catalog.archives.gov/search?q=*:*&amp;f.ancestorNaIds=613857" TargetMode="External"/><Relationship Id="rId478" Type="http://schemas.openxmlformats.org/officeDocument/2006/relationships/hyperlink" Target="https://www.familysearch.org/search/collection/2443336" TargetMode="External"/><Relationship Id="rId685" Type="http://schemas.openxmlformats.org/officeDocument/2006/relationships/hyperlink" Target="https://catalog.archives.gov/search?q=A3611&amp;f.ancestorNaIds=2663401&amp;sort=naIdSort%20asc" TargetMode="External"/><Relationship Id="rId892" Type="http://schemas.openxmlformats.org/officeDocument/2006/relationships/hyperlink" Target="https://search.ancestryinstitution.com/aird/search/db.aspx?dbid=9220" TargetMode="External"/><Relationship Id="rId2159" Type="http://schemas.openxmlformats.org/officeDocument/2006/relationships/hyperlink" Target="https://search.ancestryinstitution.com/aird/search/db.aspx?dbid=60614" TargetMode="External"/><Relationship Id="rId2366" Type="http://schemas.openxmlformats.org/officeDocument/2006/relationships/hyperlink" Target="https://catalog.archives.gov/search?q=*:*&amp;f.ancestorNaIds=1253353&amp;sort=naIdSort%20asc" TargetMode="External"/><Relationship Id="rId2573" Type="http://schemas.openxmlformats.org/officeDocument/2006/relationships/hyperlink" Target="https://search.ancestryinstitution.com/aird/search/db.aspx?dbid=2502" TargetMode="External"/><Relationship Id="rId2780" Type="http://schemas.openxmlformats.org/officeDocument/2006/relationships/hyperlink" Target="https://catalog.archives.gov/search?q=*:*&amp;f.ancestorNaIds=4509770&amp;sort=naIdSort%20asc" TargetMode="External"/><Relationship Id="rId100" Type="http://schemas.openxmlformats.org/officeDocument/2006/relationships/hyperlink" Target="https://catalog.archives.gov/search-within/2953553?availableOnline=true&amp;sort=naId%3Aasc" TargetMode="External"/><Relationship Id="rId338" Type="http://schemas.openxmlformats.org/officeDocument/2006/relationships/hyperlink" Target="http://familysearch.org/" TargetMode="External"/><Relationship Id="rId545" Type="http://schemas.openxmlformats.org/officeDocument/2006/relationships/hyperlink" Target="https://familysearch.org/search/collection/2443935" TargetMode="External"/><Relationship Id="rId752" Type="http://schemas.openxmlformats.org/officeDocument/2006/relationships/hyperlink" Target="https://ancestry.com/" TargetMode="External"/><Relationship Id="rId1175" Type="http://schemas.openxmlformats.org/officeDocument/2006/relationships/hyperlink" Target="https://search.ancestryinstitution.com/aird/search/db.aspx?dbid=2322" TargetMode="External"/><Relationship Id="rId1382" Type="http://schemas.openxmlformats.org/officeDocument/2006/relationships/hyperlink" Target="https://search.ancestryinstitution.com/aird/search/db.aspx?dbid=60555" TargetMode="External"/><Relationship Id="rId2019" Type="http://schemas.openxmlformats.org/officeDocument/2006/relationships/hyperlink" Target="http://familysearch.org/" TargetMode="External"/><Relationship Id="rId2226" Type="http://schemas.openxmlformats.org/officeDocument/2006/relationships/hyperlink" Target="https://search.ancestryinstitution.com/aird/search/db.aspx?dbid=2507" TargetMode="External"/><Relationship Id="rId2433" Type="http://schemas.openxmlformats.org/officeDocument/2006/relationships/hyperlink" Target="https://search.ancestryinstitution.com/aird/search/db.aspx?dbid=2500" TargetMode="External"/><Relationship Id="rId2640" Type="http://schemas.openxmlformats.org/officeDocument/2006/relationships/hyperlink" Target="https://search.ancestryinstitution.com/aird/search/db.aspx?dbid=2506" TargetMode="External"/><Relationship Id="rId2878" Type="http://schemas.openxmlformats.org/officeDocument/2006/relationships/hyperlink" Target="https://catalog.archives.gov/search?q=*:*&amp;f.ancestorNaIds=4696773&amp;sort=naIdSort%20asc" TargetMode="External"/><Relationship Id="rId405" Type="http://schemas.openxmlformats.org/officeDocument/2006/relationships/hyperlink" Target="https://search.ancestryinstitution.com/search/db.aspx?dbid=1075" TargetMode="External"/><Relationship Id="rId612" Type="http://schemas.openxmlformats.org/officeDocument/2006/relationships/hyperlink" Target="https://search.ancestryinstitution.com/aird/search/db.aspx?dbid=60501" TargetMode="External"/><Relationship Id="rId1035" Type="http://schemas.openxmlformats.org/officeDocument/2006/relationships/hyperlink" Target="https://catalog.archives.gov/search?q=A4126&amp;f.ancestorNaIds=3179955&amp;sort=naIdSort%20asc" TargetMode="External"/><Relationship Id="rId1242" Type="http://schemas.openxmlformats.org/officeDocument/2006/relationships/hyperlink" Target="https://familysearch.org/search/collection/1932398" TargetMode="External"/><Relationship Id="rId1687" Type="http://schemas.openxmlformats.org/officeDocument/2006/relationships/hyperlink" Target="https://familysearch.org/search/collection/2333781" TargetMode="External"/><Relationship Id="rId1894" Type="http://schemas.openxmlformats.org/officeDocument/2006/relationships/hyperlink" Target="http://familysearch.org/" TargetMode="External"/><Relationship Id="rId2500" Type="http://schemas.openxmlformats.org/officeDocument/2006/relationships/hyperlink" Target="https://search.ancestryinstitution.com/aird/search/db.aspx?dbid=2503" TargetMode="External"/><Relationship Id="rId2738" Type="http://schemas.openxmlformats.org/officeDocument/2006/relationships/hyperlink" Target="https://www.familysearch.org/wiki/en/Puerto_Rico,_Naturalization_Records_-_FamilySearch_Historical_Records" TargetMode="External"/><Relationship Id="rId2945" Type="http://schemas.openxmlformats.org/officeDocument/2006/relationships/hyperlink" Target="https://catalog.archives.gov/search?q=*:*&amp;f.ancestorNaIds=5635886&amp;sort=naIdSort%20asc" TargetMode="External"/><Relationship Id="rId917" Type="http://schemas.openxmlformats.org/officeDocument/2006/relationships/hyperlink" Target="https://catalog.archives.gov/search?q=A3970&amp;f.ancestorNaIds=2788873&amp;sort=naIdSort%20asc" TargetMode="External"/><Relationship Id="rId1102" Type="http://schemas.openxmlformats.org/officeDocument/2006/relationships/hyperlink" Target="https://familysearch.org/search/collection/1804228" TargetMode="External"/><Relationship Id="rId1547" Type="http://schemas.openxmlformats.org/officeDocument/2006/relationships/hyperlink" Target="https://familysearch.org/search/collection/2427901" TargetMode="External"/><Relationship Id="rId1754" Type="http://schemas.openxmlformats.org/officeDocument/2006/relationships/hyperlink" Target="https://search.ancestryinstitution.com/aird/search/db.aspx?dbid=1264" TargetMode="External"/><Relationship Id="rId1961" Type="http://schemas.openxmlformats.org/officeDocument/2006/relationships/hyperlink" Target="https://catalog.archives.gov/search?q=M1948%20Fold3&amp;f.level=fileunit&amp;f.recordGroupNoCollectionId=260&amp;f.oldScope=online" TargetMode="External"/><Relationship Id="rId2805" Type="http://schemas.openxmlformats.org/officeDocument/2006/relationships/hyperlink" Target="https://catalog.archives.gov/search?q=*:*&amp;f.ancestorNaIds=4522254&amp;sort=naIdSort%20asc" TargetMode="External"/><Relationship Id="rId46" Type="http://schemas.openxmlformats.org/officeDocument/2006/relationships/hyperlink" Target="https://search.ancestryinstitution.com/aird/search/db.aspx?dbid=9122" TargetMode="External"/><Relationship Id="rId1407" Type="http://schemas.openxmlformats.org/officeDocument/2006/relationships/hyperlink" Target="https://search.ancestryinstitution.com/aird/search/db.aspx?dbid=1264" TargetMode="External"/><Relationship Id="rId1614" Type="http://schemas.openxmlformats.org/officeDocument/2006/relationships/hyperlink" Target="https://search.ancestryinstitution.com/aird/search/db.aspx?dbid=1124" TargetMode="External"/><Relationship Id="rId1821" Type="http://schemas.openxmlformats.org/officeDocument/2006/relationships/hyperlink" Target="https://www.fold3.com/title/10/southern-claims-approved-west-virginia" TargetMode="External"/><Relationship Id="rId3067" Type="http://schemas.openxmlformats.org/officeDocument/2006/relationships/hyperlink" Target="https://familysearch.org/search/collection/2613134" TargetMode="External"/><Relationship Id="rId3274" Type="http://schemas.openxmlformats.org/officeDocument/2006/relationships/hyperlink" Target="https://catalog.archives.gov/search?q=*:*&amp;f.ancestorNaIds=24200261" TargetMode="External"/><Relationship Id="rId195" Type="http://schemas.openxmlformats.org/officeDocument/2006/relationships/hyperlink" Target="https://www.fold3.com/" TargetMode="External"/><Relationship Id="rId1919" Type="http://schemas.openxmlformats.org/officeDocument/2006/relationships/hyperlink" Target="https://search.ancestryinstitution.com/aird/search/db.aspx?dbid=1928" TargetMode="External"/><Relationship Id="rId2083" Type="http://schemas.openxmlformats.org/officeDocument/2006/relationships/hyperlink" Target="https://search.ancestryinstitution.com/aird/search/db.aspx?dbid=2509" TargetMode="External"/><Relationship Id="rId2290" Type="http://schemas.openxmlformats.org/officeDocument/2006/relationships/hyperlink" Target="https://familysearch.org/search/collection/2187007" TargetMode="External"/><Relationship Id="rId2388" Type="http://schemas.openxmlformats.org/officeDocument/2006/relationships/hyperlink" Target="https://search.ancestryinstitution.com/aird/search/db.aspx?dbid=2505" TargetMode="External"/><Relationship Id="rId2595" Type="http://schemas.openxmlformats.org/officeDocument/2006/relationships/hyperlink" Target="https://search.ancestryinstitution.com/aird/search/db.aspx?dbid=1714%09%09%09%09" TargetMode="External"/><Relationship Id="rId3134" Type="http://schemas.openxmlformats.org/officeDocument/2006/relationships/hyperlink" Target="https://catalog.archives.gov/search-within/7644724" TargetMode="External"/><Relationship Id="rId3341" Type="http://schemas.openxmlformats.org/officeDocument/2006/relationships/hyperlink" Target="https://www.fold3.com/title/20/census-us-federal-1930" TargetMode="External"/><Relationship Id="rId262" Type="http://schemas.openxmlformats.org/officeDocument/2006/relationships/hyperlink" Target="https://catalog.archives.gov/search?q=*:*&amp;f.parentNaId=1244180" TargetMode="External"/><Relationship Id="rId567" Type="http://schemas.openxmlformats.org/officeDocument/2006/relationships/hyperlink" Target="https://catalog.archives.gov/search?q=A3497&amp;f.ancestorNaIds=2663221&amp;sort=naIdSort%20asc" TargetMode="External"/><Relationship Id="rId1197" Type="http://schemas.openxmlformats.org/officeDocument/2006/relationships/hyperlink" Target="https://www.fold3.com/title/41/civil-war-service-records-cmsr-confederate-texas" TargetMode="External"/><Relationship Id="rId2150" Type="http://schemas.openxmlformats.org/officeDocument/2006/relationships/hyperlink" Target="https://search.ancestryinstitution.com/aird/search/db.aspx?dbid=1002" TargetMode="External"/><Relationship Id="rId2248" Type="http://schemas.openxmlformats.org/officeDocument/2006/relationships/hyperlink" Target="https://catalog.archives.gov/search?q=*:*&amp;f.ancestorNaIds=731200&amp;sort=naIdSort%20asc" TargetMode="External"/><Relationship Id="rId3201" Type="http://schemas.openxmlformats.org/officeDocument/2006/relationships/hyperlink" Target="https://www.familysearch.org/wiki/en/Alaska,_Naturalization_Records_-_FamilySearch_Historical_Records" TargetMode="External"/><Relationship Id="rId122" Type="http://schemas.openxmlformats.org/officeDocument/2006/relationships/hyperlink" Target="https://catalog.archives.gov/search-within/2717140?availableOnline=true&amp;sort=naId%3Aasc" TargetMode="External"/><Relationship Id="rId774" Type="http://schemas.openxmlformats.org/officeDocument/2006/relationships/hyperlink" Target="http://ancestry.com/" TargetMode="External"/><Relationship Id="rId981" Type="http://schemas.openxmlformats.org/officeDocument/2006/relationships/hyperlink" Target="https://catalog.archives.gov/search?q=A4060&amp;f.ancestorNaIds=3231892&amp;sort=naIdSort%20asc" TargetMode="External"/><Relationship Id="rId1057" Type="http://schemas.openxmlformats.org/officeDocument/2006/relationships/hyperlink" Target="http://ancestry.com/" TargetMode="External"/><Relationship Id="rId2010" Type="http://schemas.openxmlformats.org/officeDocument/2006/relationships/hyperlink" Target="https://catalog.archives.gov/search?q=M2062&amp;f.ancestorNaIds=566157" TargetMode="External"/><Relationship Id="rId2455" Type="http://schemas.openxmlformats.org/officeDocument/2006/relationships/hyperlink" Target="https://search.ancestryinstitution.com/aird/search/db.aspx?dbid=2503" TargetMode="External"/><Relationship Id="rId2662" Type="http://schemas.openxmlformats.org/officeDocument/2006/relationships/hyperlink" Target="https://search.ancestryinstitution.com/aird/search/db.aspx?dbid=1850" TargetMode="External"/><Relationship Id="rId427" Type="http://schemas.openxmlformats.org/officeDocument/2006/relationships/hyperlink" Target="https://catalog.archives.gov/search?q=*:*&amp;f.ancestorNaIds=4495176&amp;sort=naIdSort%20asc" TargetMode="External"/><Relationship Id="rId634" Type="http://schemas.openxmlformats.org/officeDocument/2006/relationships/hyperlink" Target="https://catalog.archives.gov/search?q=*:*&amp;f.ancestorNaIds=2328446" TargetMode="External"/><Relationship Id="rId841" Type="http://schemas.openxmlformats.org/officeDocument/2006/relationships/hyperlink" Target="https://ancestry.com/" TargetMode="External"/><Relationship Id="rId1264" Type="http://schemas.openxmlformats.org/officeDocument/2006/relationships/hyperlink" Target="https://search.ancestryinstitution.com/aird/search/db.aspx?dbid=2344" TargetMode="External"/><Relationship Id="rId1471" Type="http://schemas.openxmlformats.org/officeDocument/2006/relationships/hyperlink" Target="https://www.fold3.com/title/467/revolutionary-war-pensions" TargetMode="External"/><Relationship Id="rId1569" Type="http://schemas.openxmlformats.org/officeDocument/2006/relationships/hyperlink" Target="https://www.fold3.com/title/454/photos-fine-arts-commission-series-g/description" TargetMode="External"/><Relationship Id="rId2108" Type="http://schemas.openxmlformats.org/officeDocument/2006/relationships/hyperlink" Target="https://search.ancestryinstitution.com/aird/search/db.aspx?dbid=2509" TargetMode="External"/><Relationship Id="rId2315" Type="http://schemas.openxmlformats.org/officeDocument/2006/relationships/hyperlink" Target="https://search.ancestryinstitution.com/aird/search/db.aspx?dbid=2505" TargetMode="External"/><Relationship Id="rId2522" Type="http://schemas.openxmlformats.org/officeDocument/2006/relationships/hyperlink" Target="https://catalog.archives.gov/search-within/2555451" TargetMode="External"/><Relationship Id="rId2967" Type="http://schemas.openxmlformats.org/officeDocument/2006/relationships/hyperlink" Target="https://familysearch.org/search/collection/2137708" TargetMode="External"/><Relationship Id="rId701" Type="http://schemas.openxmlformats.org/officeDocument/2006/relationships/hyperlink" Target="https://catalog.archives.gov/search?q=A3624&amp;f.ancestorNaIds=2641936&amp;sort=naIdSort%20asc" TargetMode="External"/><Relationship Id="rId939" Type="http://schemas.openxmlformats.org/officeDocument/2006/relationships/hyperlink" Target="https://search.ancestryinstitution.com/aird/search/db.aspx?dbid=8842" TargetMode="External"/><Relationship Id="rId1124" Type="http://schemas.openxmlformats.org/officeDocument/2006/relationships/hyperlink" Target="https://familysearch.org/search/collection/2068326" TargetMode="External"/><Relationship Id="rId1331" Type="http://schemas.openxmlformats.org/officeDocument/2006/relationships/hyperlink" Target="http://www.fold3.com/title_810/" TargetMode="External"/><Relationship Id="rId1776" Type="http://schemas.openxmlformats.org/officeDocument/2006/relationships/hyperlink" Target="https://www.fold3.com/title/85/japanese-air-target-analyses" TargetMode="External"/><Relationship Id="rId1983" Type="http://schemas.openxmlformats.org/officeDocument/2006/relationships/hyperlink" Target="https://search.ancestryinstitution.com/aird/search/db.aspx?dbid=1107" TargetMode="External"/><Relationship Id="rId2827" Type="http://schemas.openxmlformats.org/officeDocument/2006/relationships/hyperlink" Target="https://catalog.archives.gov/search?q=*:*&amp;f.ancestorNaIds=4597267&amp;sort=naIdSort%20asc" TargetMode="External"/><Relationship Id="rId68" Type="http://schemas.openxmlformats.org/officeDocument/2006/relationships/hyperlink" Target="https://search.ancestryinstitution.com/aird/search/db.aspx?dbid=2257" TargetMode="External"/><Relationship Id="rId1429" Type="http://schemas.openxmlformats.org/officeDocument/2006/relationships/hyperlink" Target="https://search.ancestryinstitution.com/aird/search/db.aspx?dbid=1264" TargetMode="External"/><Relationship Id="rId1636" Type="http://schemas.openxmlformats.org/officeDocument/2006/relationships/hyperlink" Target="https://familysearch.org/search/collection/2299374" TargetMode="External"/><Relationship Id="rId1843" Type="http://schemas.openxmlformats.org/officeDocument/2006/relationships/hyperlink" Target="https://familysearch.org/search/collection/1979426" TargetMode="External"/><Relationship Id="rId3089" Type="http://schemas.openxmlformats.org/officeDocument/2006/relationships/hyperlink" Target="https://catalog.archives.gov/search?q=*:*&amp;f.ancestorNaIds=7385089&amp;sort=naIdSort%20asc" TargetMode="External"/><Relationship Id="rId3296" Type="http://schemas.openxmlformats.org/officeDocument/2006/relationships/hyperlink" Target="https://search.ancestryinstitution.com/aird/search/db.aspx?dbid=3095" TargetMode="External"/><Relationship Id="rId1703" Type="http://schemas.openxmlformats.org/officeDocument/2006/relationships/hyperlink" Target="https://catalog.archives.gov/search?q=m1522%20ancestry&amp;f.oldScope=online&amp;f.recordGroupNoCollectionId=21" TargetMode="External"/><Relationship Id="rId1910" Type="http://schemas.openxmlformats.org/officeDocument/2006/relationships/hyperlink" Target="https://catalog.archives.gov/search?q=M1865&amp;f.ancestorNaIds=1055789&amp;f.level=fileUnit" TargetMode="External"/><Relationship Id="rId3156" Type="http://schemas.openxmlformats.org/officeDocument/2006/relationships/hyperlink" Target="https://www.fold3.com/title_816/wwii_draft_registration_cards" TargetMode="External"/><Relationship Id="rId3363" Type="http://schemas.openxmlformats.org/officeDocument/2006/relationships/hyperlink" Target="https://www.fold3.com/title/634/mauthausen-death-books" TargetMode="External"/><Relationship Id="rId284" Type="http://schemas.openxmlformats.org/officeDocument/2006/relationships/hyperlink" Target="https://catalog.archives.gov/search?q=*:*&amp;f.ancestorNaIds=2658545" TargetMode="External"/><Relationship Id="rId491" Type="http://schemas.openxmlformats.org/officeDocument/2006/relationships/hyperlink" Target="https://catalog.archives.gov/search?q=*:*&amp;f.ancestorNaIds=4525595&amp;sort=naIdSort%20asc" TargetMode="External"/><Relationship Id="rId2172" Type="http://schemas.openxmlformats.org/officeDocument/2006/relationships/hyperlink" Target="https://search.ancestryinstitution.com/aird/search/db.aspx?dbid=3998" TargetMode="External"/><Relationship Id="rId3016" Type="http://schemas.openxmlformats.org/officeDocument/2006/relationships/hyperlink" Target="https://catalog.archives.gov/search?q=*:*&amp;f.ancestorNaIds=5891399&amp;sort=naIdSort%20asc" TargetMode="External"/><Relationship Id="rId3223" Type="http://schemas.openxmlformats.org/officeDocument/2006/relationships/hyperlink" Target="https://search.ancestryinstitution.com/aird/search/db.aspx?dbid=1002" TargetMode="External"/><Relationship Id="rId144" Type="http://schemas.openxmlformats.org/officeDocument/2006/relationships/hyperlink" Target="https://search.ancestryinstitution.com/aird/search/db.aspx?dbid=9272" TargetMode="External"/><Relationship Id="rId589" Type="http://schemas.openxmlformats.org/officeDocument/2006/relationships/hyperlink" Target="https://catalog.archives.gov/search?q=*:*&amp;f.ancestorNaIds=2789094&amp;sort=naIdSort%20asc" TargetMode="External"/><Relationship Id="rId796" Type="http://schemas.openxmlformats.org/officeDocument/2006/relationships/hyperlink" Target="http://ancestry.com/" TargetMode="External"/><Relationship Id="rId2477" Type="http://schemas.openxmlformats.org/officeDocument/2006/relationships/hyperlink" Target="https://search.ancestryinstitution.com/aird/search/db.aspx?dbid=2512" TargetMode="External"/><Relationship Id="rId2684" Type="http://schemas.openxmlformats.org/officeDocument/2006/relationships/hyperlink" Target="https://search.ancestryinstitution.com/aird/search/db.aspx?dbid=2502" TargetMode="External"/><Relationship Id="rId351" Type="http://schemas.openxmlformats.org/officeDocument/2006/relationships/hyperlink" Target="https://catalog.archives.gov/search?q=A3355%20Fold3&amp;f.ancestorNaIds=596972" TargetMode="External"/><Relationship Id="rId449" Type="http://schemas.openxmlformats.org/officeDocument/2006/relationships/hyperlink" Target="https://catalog.archives.gov/search?q=*:*&amp;f.ancestorNaIds=2574390&amp;sort=naIdSort%20asc" TargetMode="External"/><Relationship Id="rId656" Type="http://schemas.openxmlformats.org/officeDocument/2006/relationships/hyperlink" Target="https://search.ancestryinstitution.com/aird/search/db.aspx?dbid=2257" TargetMode="External"/><Relationship Id="rId863" Type="http://schemas.openxmlformats.org/officeDocument/2006/relationships/hyperlink" Target="https://catalog.archives.gov/search?q=A3901&amp;f.ancestorNaIds=2953511&amp;sort=naIdSort%20asc" TargetMode="External"/><Relationship Id="rId1079" Type="http://schemas.openxmlformats.org/officeDocument/2006/relationships/hyperlink" Target="https://catalog.archives.gov/search?q=A4211&amp;f.ancestorNaIds=3686199" TargetMode="External"/><Relationship Id="rId1286" Type="http://schemas.openxmlformats.org/officeDocument/2006/relationships/hyperlink" Target="https://catalog.archives.gov/search?q=*:*&amp;f.ancestorNaIds=6277088&amp;sort=naIdSort%20asc" TargetMode="External"/><Relationship Id="rId1493" Type="http://schemas.openxmlformats.org/officeDocument/2006/relationships/hyperlink" Target="https://catalog.archives.gov/search?q=m853%20fold3&amp;f.oldScope=online&amp;f.level=fileunit&amp;f.recordGroupNoCollectionId=93" TargetMode="External"/><Relationship Id="rId2032" Type="http://schemas.openxmlformats.org/officeDocument/2006/relationships/hyperlink" Target="https://search.ancestryinstitution.com/aird/search/db.aspx?dbid=2222" TargetMode="External"/><Relationship Id="rId2337" Type="http://schemas.openxmlformats.org/officeDocument/2006/relationships/hyperlink" Target="https://search.ancestryinstitution.com/aird/search/db.aspx?dbid=4906" TargetMode="External"/><Relationship Id="rId2544" Type="http://schemas.openxmlformats.org/officeDocument/2006/relationships/hyperlink" Target="https://catalog.archives.gov/search?q=*:*&amp;f.ancestorNaIds=2602422&amp;sort=naIdSort%20asc" TargetMode="External"/><Relationship Id="rId2891" Type="http://schemas.openxmlformats.org/officeDocument/2006/relationships/hyperlink" Target="https://search.ancestryinstitution.com/aird/search/db.aspx?dbid=2508" TargetMode="External"/><Relationship Id="rId2989" Type="http://schemas.openxmlformats.org/officeDocument/2006/relationships/hyperlink" Target="https://catalog.archives.gov/search?q=*:*&amp;f.ancestorNaIds=5721275&amp;sort=naIdSort%20asc" TargetMode="External"/><Relationship Id="rId211" Type="http://schemas.openxmlformats.org/officeDocument/2006/relationships/hyperlink" Target="http://www.fold3.com/title_756/" TargetMode="External"/><Relationship Id="rId309" Type="http://schemas.openxmlformats.org/officeDocument/2006/relationships/hyperlink" Target="https://catalog.archives.gov/search?q=*:*&amp;f.ancestorNaIds=23904753" TargetMode="External"/><Relationship Id="rId516" Type="http://schemas.openxmlformats.org/officeDocument/2006/relationships/hyperlink" Target="https://catalog.archives.gov/search?q=*:*&amp;f.ancestorNaIds=3887372&amp;sort=naIdSort%20asc" TargetMode="External"/><Relationship Id="rId1146" Type="http://schemas.openxmlformats.org/officeDocument/2006/relationships/hyperlink" Target="https://www.fold3.com/title/31/civil-war-service-records-cmsr-confederate-georgia" TargetMode="External"/><Relationship Id="rId1798" Type="http://schemas.openxmlformats.org/officeDocument/2006/relationships/hyperlink" Target="https://search.ancestryinstitution.com/aird/search/db.aspx?dbid=1629" TargetMode="External"/><Relationship Id="rId2751" Type="http://schemas.openxmlformats.org/officeDocument/2006/relationships/hyperlink" Target="https://search.ancestryinstitution.com/aird/search/db.aspx?dbid=2507" TargetMode="External"/><Relationship Id="rId2849" Type="http://schemas.openxmlformats.org/officeDocument/2006/relationships/hyperlink" Target="https://catalog.archives.gov/search?q=*:*&amp;f.ancestorNaIds=4684514&amp;sort=naIdSort%20asc" TargetMode="External"/><Relationship Id="rId723" Type="http://schemas.openxmlformats.org/officeDocument/2006/relationships/hyperlink" Target="https://search.ancestryinstitution.com/aird/search/db.aspx?dbid=7484" TargetMode="External"/><Relationship Id="rId930" Type="http://schemas.openxmlformats.org/officeDocument/2006/relationships/hyperlink" Target="https://search.ancestryinstitution.com/aird/search/db.aspx?dbid=8722" TargetMode="External"/><Relationship Id="rId1006" Type="http://schemas.openxmlformats.org/officeDocument/2006/relationships/hyperlink" Target="https://catalog.archives.gov/search?q=A4084&amp;f.ancestorNaIds=3000062&amp;sort=naIdSort%20asc" TargetMode="External"/><Relationship Id="rId1353" Type="http://schemas.openxmlformats.org/officeDocument/2006/relationships/hyperlink" Target="https://familysearch.org/search/collection/1916219" TargetMode="External"/><Relationship Id="rId1560" Type="http://schemas.openxmlformats.org/officeDocument/2006/relationships/hyperlink" Target="http://www.footnote.com/title_779/" TargetMode="External"/><Relationship Id="rId1658" Type="http://schemas.openxmlformats.org/officeDocument/2006/relationships/hyperlink" Target="https://catalog.archives.gov/search?q=*:*&amp;f.ancestorNaIds=4481637&amp;sort=naIdSort%20asc" TargetMode="External"/><Relationship Id="rId1865" Type="http://schemas.openxmlformats.org/officeDocument/2006/relationships/hyperlink" Target="https://search.ancestryinstitution.com/aird/search/db.aspx?dbid=2344" TargetMode="External"/><Relationship Id="rId2404" Type="http://schemas.openxmlformats.org/officeDocument/2006/relationships/hyperlink" Target="https://search.ancestryinstitution.com/aird/search/db.aspx?dbid=2500" TargetMode="External"/><Relationship Id="rId2611" Type="http://schemas.openxmlformats.org/officeDocument/2006/relationships/hyperlink" Target="https://catalog.archives.gov/search?q=*:*&amp;f.ancestorNaIds=2838796&amp;sort=naIdSort%20asc" TargetMode="External"/><Relationship Id="rId2709" Type="http://schemas.openxmlformats.org/officeDocument/2006/relationships/hyperlink" Target="https://search.ancestryinstitution.com/aird/search/db.aspx?dbid=2508" TargetMode="External"/><Relationship Id="rId1213" Type="http://schemas.openxmlformats.org/officeDocument/2006/relationships/hyperlink" Target="https://www.fold3.com/title/60/confederate-citizens-file/description" TargetMode="External"/><Relationship Id="rId1420" Type="http://schemas.openxmlformats.org/officeDocument/2006/relationships/hyperlink" Target="https://familysearch.org/search/collection/2075263" TargetMode="External"/><Relationship Id="rId1518" Type="http://schemas.openxmlformats.org/officeDocument/2006/relationships/hyperlink" Target="http://www.fold3.com/title_788/" TargetMode="External"/><Relationship Id="rId2916" Type="http://schemas.openxmlformats.org/officeDocument/2006/relationships/hyperlink" Target="https://catalog.archives.gov/search?q=*:*&amp;f.ancestorNaIds=4726287&amp;sort=naIdSort%20asc" TargetMode="External"/><Relationship Id="rId3080" Type="http://schemas.openxmlformats.org/officeDocument/2006/relationships/hyperlink" Target="https://catalog.archives.gov/search-within/6883383" TargetMode="External"/><Relationship Id="rId1725" Type="http://schemas.openxmlformats.org/officeDocument/2006/relationships/hyperlink" Target="https://catalog.archives.gov/search?q=M1542&amp;f.locationIds=26&amp;f.level=fileunit" TargetMode="External"/><Relationship Id="rId1932" Type="http://schemas.openxmlformats.org/officeDocument/2006/relationships/hyperlink" Target="https://catalog.archives.gov/search?q=*:*&amp;f.ancestorNaIds=7820285&amp;sort=naIdSort%20asc" TargetMode="External"/><Relationship Id="rId3178" Type="http://schemas.openxmlformats.org/officeDocument/2006/relationships/hyperlink" Target="https://catalog.archives.gov/search?q=*:*&amp;f.ancestorNaIds=7820269&amp;sort=naIdSort%20asc" TargetMode="External"/><Relationship Id="rId3385" Type="http://schemas.openxmlformats.org/officeDocument/2006/relationships/hyperlink" Target="http://familysearch.org/" TargetMode="External"/><Relationship Id="rId17" Type="http://schemas.openxmlformats.org/officeDocument/2006/relationships/hyperlink" Target="https://catalog.archives.gov/search-within/2733312?availableOnline=true&amp;sort=naId%3Aasc" TargetMode="External"/><Relationship Id="rId2194" Type="http://schemas.openxmlformats.org/officeDocument/2006/relationships/hyperlink" Target="http://www.fold3.com/title_765/" TargetMode="External"/><Relationship Id="rId3038" Type="http://schemas.openxmlformats.org/officeDocument/2006/relationships/hyperlink" Target="http://familysearch.org/" TargetMode="External"/><Relationship Id="rId3245" Type="http://schemas.openxmlformats.org/officeDocument/2006/relationships/hyperlink" Target="https://www.familysearch.org/search/catalog/3743032" TargetMode="External"/><Relationship Id="rId166" Type="http://schemas.openxmlformats.org/officeDocument/2006/relationships/hyperlink" Target="https://catalog.archives.gov/search-within/2990256?availableOnline=true&amp;sort=naId%3Aasc" TargetMode="External"/><Relationship Id="rId373" Type="http://schemas.openxmlformats.org/officeDocument/2006/relationships/hyperlink" Target="https://www.familysearch.org/search/collection/2329948" TargetMode="External"/><Relationship Id="rId580" Type="http://schemas.openxmlformats.org/officeDocument/2006/relationships/hyperlink" Target="https://catalog.archives.gov/search?q=*:*&amp;f.ancestorNaIds=2642537&amp;sort=naIdSort%20asc" TargetMode="External"/><Relationship Id="rId2054" Type="http://schemas.openxmlformats.org/officeDocument/2006/relationships/hyperlink" Target="https://catalog.archives.gov/search?q=*:*&amp;f.ancestorNaIds=542351&amp;sort=naIdSort%20asc" TargetMode="External"/><Relationship Id="rId2261" Type="http://schemas.openxmlformats.org/officeDocument/2006/relationships/hyperlink" Target="https://www.familysearch.org/wiki/en/Missouri_Naturalization_and_Citizenship" TargetMode="External"/><Relationship Id="rId2499" Type="http://schemas.openxmlformats.org/officeDocument/2006/relationships/hyperlink" Target="https://catalog.archives.gov/search?q=*:*&amp;f.ancestorNaIds=2435812&amp;sort=naIdSort%20asc" TargetMode="External"/><Relationship Id="rId3105" Type="http://schemas.openxmlformats.org/officeDocument/2006/relationships/hyperlink" Target="http://familysearch.org/" TargetMode="External"/><Relationship Id="rId3312" Type="http://schemas.openxmlformats.org/officeDocument/2006/relationships/hyperlink" Target="https://aad.archives.gov/aad/series-description.jsp?s=533&amp;cat=SB711&amp;bc=sb,sl" TargetMode="External"/><Relationship Id="rId1" Type="http://schemas.openxmlformats.org/officeDocument/2006/relationships/hyperlink" Target="https://catalog.archives.gov/search-within/4486713?sort=naId%3Aasc" TargetMode="External"/><Relationship Id="rId233" Type="http://schemas.openxmlformats.org/officeDocument/2006/relationships/hyperlink" Target="http://www.footnote.com/title_913/" TargetMode="External"/><Relationship Id="rId440" Type="http://schemas.openxmlformats.org/officeDocument/2006/relationships/hyperlink" Target="https://www.familysearch.org/search/collection/2467808" TargetMode="External"/><Relationship Id="rId678" Type="http://schemas.openxmlformats.org/officeDocument/2006/relationships/hyperlink" Target="https://search.ancestryinstitution.com/aird/search/db.aspx?dbid=9220" TargetMode="External"/><Relationship Id="rId885" Type="http://schemas.openxmlformats.org/officeDocument/2006/relationships/hyperlink" Target="https://search.ancestryinstitution.com/aird/search/db.aspx?dbid=8722" TargetMode="External"/><Relationship Id="rId1070" Type="http://schemas.openxmlformats.org/officeDocument/2006/relationships/hyperlink" Target="https://search.ancestryinstitution.com/aird/search/db.aspx?dbid=1075" TargetMode="External"/><Relationship Id="rId2121" Type="http://schemas.openxmlformats.org/officeDocument/2006/relationships/hyperlink" Target="https://familysearch.org/search/collection/2170637" TargetMode="External"/><Relationship Id="rId2359" Type="http://schemas.openxmlformats.org/officeDocument/2006/relationships/hyperlink" Target="https://catalog.archives.gov/search?q=*:*&amp;f.ancestorNaIds=1251970&amp;sort=naIdSort%20asc" TargetMode="External"/><Relationship Id="rId2566" Type="http://schemas.openxmlformats.org/officeDocument/2006/relationships/hyperlink" Target="https://search.ancestryinstitution.com/aird/search/db.aspx?dbid=2509" TargetMode="External"/><Relationship Id="rId2773" Type="http://schemas.openxmlformats.org/officeDocument/2006/relationships/hyperlink" Target="https://search.ancestryinstitution.com/aird/search/db.aspx?dbid=2509" TargetMode="External"/><Relationship Id="rId2980" Type="http://schemas.openxmlformats.org/officeDocument/2006/relationships/hyperlink" Target="https://www.familysearch.org/search/collection/2075263" TargetMode="External"/><Relationship Id="rId300" Type="http://schemas.openxmlformats.org/officeDocument/2006/relationships/hyperlink" Target="https://drive.google.com/file/d/12blFKim7Mj4Fcz0yvzpJYKt10t0vNzrf/view" TargetMode="External"/><Relationship Id="rId538" Type="http://schemas.openxmlformats.org/officeDocument/2006/relationships/hyperlink" Target="https://www.familysearch.org/search/collection/2465054" TargetMode="External"/><Relationship Id="rId745" Type="http://schemas.openxmlformats.org/officeDocument/2006/relationships/hyperlink" Target="https://ancestry.com/" TargetMode="External"/><Relationship Id="rId952" Type="http://schemas.openxmlformats.org/officeDocument/2006/relationships/hyperlink" Target="https://catalog.archives.gov/search?q=A4009&amp;f.ancestorNaIds=2803268" TargetMode="External"/><Relationship Id="rId1168" Type="http://schemas.openxmlformats.org/officeDocument/2006/relationships/hyperlink" Target="https://familysearch.org/search/collection/1932389" TargetMode="External"/><Relationship Id="rId1375" Type="http://schemas.openxmlformats.org/officeDocument/2006/relationships/hyperlink" Target="http://www.fold3.com/title_814/" TargetMode="External"/><Relationship Id="rId1582" Type="http://schemas.openxmlformats.org/officeDocument/2006/relationships/hyperlink" Target="https://www.fold3.com/title/69/dawes-enrollment-cards" TargetMode="External"/><Relationship Id="rId2219" Type="http://schemas.openxmlformats.org/officeDocument/2006/relationships/hyperlink" Target="https://search.ancestryinstitution.com/aird/search/db.aspx?dbid=2507" TargetMode="External"/><Relationship Id="rId2426" Type="http://schemas.openxmlformats.org/officeDocument/2006/relationships/hyperlink" Target="https://catalog.archives.gov/search?q=*:*&amp;f.ancestorNaIds=2118215&amp;sort=naIdSort%20asc" TargetMode="External"/><Relationship Id="rId2633" Type="http://schemas.openxmlformats.org/officeDocument/2006/relationships/hyperlink" Target="https://www.familysearch.org/search/catalog/results?count=20&amp;query=%2Bkeywords%3A3281761%20%2Bkeywords%3ANational%20%2Bkeywords%3AArchives" TargetMode="External"/><Relationship Id="rId81" Type="http://schemas.openxmlformats.org/officeDocument/2006/relationships/hyperlink" Target="https://catalog.archives.gov/search-within/2842721?availableOnline=true&amp;sort=naId%3Aasc" TargetMode="External"/><Relationship Id="rId605" Type="http://schemas.openxmlformats.org/officeDocument/2006/relationships/hyperlink" Target="https://ancestry.com/" TargetMode="External"/><Relationship Id="rId812" Type="http://schemas.openxmlformats.org/officeDocument/2006/relationships/hyperlink" Target="https://familysearch.org/search/collection/2443337" TargetMode="External"/><Relationship Id="rId1028" Type="http://schemas.openxmlformats.org/officeDocument/2006/relationships/hyperlink" Target="https://search.ancestryinstitution.com/aird/search/db.aspx?dbid=7484" TargetMode="External"/><Relationship Id="rId1235" Type="http://schemas.openxmlformats.org/officeDocument/2006/relationships/hyperlink" Target="https://familysearch.org/search/collection/1932422" TargetMode="External"/><Relationship Id="rId1442" Type="http://schemas.openxmlformats.org/officeDocument/2006/relationships/hyperlink" Target="https://familysearch.org/search/collection/2075263" TargetMode="External"/><Relationship Id="rId1887" Type="http://schemas.openxmlformats.org/officeDocument/2006/relationships/hyperlink" Target="https://search.ancestryinstitution.com/aird/search/db.aspx?dbid=1107" TargetMode="External"/><Relationship Id="rId2840" Type="http://schemas.openxmlformats.org/officeDocument/2006/relationships/hyperlink" Target="https://www.familysearch.org/search/catalog/3303033" TargetMode="External"/><Relationship Id="rId2938" Type="http://schemas.openxmlformats.org/officeDocument/2006/relationships/hyperlink" Target="http://www.footnote.com/title_925/" TargetMode="External"/><Relationship Id="rId1302" Type="http://schemas.openxmlformats.org/officeDocument/2006/relationships/hyperlink" Target="https://catalog.archives.gov/search-within/654530?q=record.microformPublications.identifier%3AM540&amp;sort=title%3Aasc" TargetMode="External"/><Relationship Id="rId1747" Type="http://schemas.openxmlformats.org/officeDocument/2006/relationships/hyperlink" Target="https://search.ancestryinstitution.com/search/db.aspx?dbid=3998" TargetMode="External"/><Relationship Id="rId1954" Type="http://schemas.openxmlformats.org/officeDocument/2006/relationships/hyperlink" Target="https://catalog.archives.gov/search?q=m1942%20and%20fold3&amp;f.level=fileunit&amp;f.locationIds=33&amp;f.oldScope=online&amp;f.recordGroupNoCollectionId=260" TargetMode="External"/><Relationship Id="rId2700" Type="http://schemas.openxmlformats.org/officeDocument/2006/relationships/hyperlink" Target="https://catalog.archives.gov/search-within/4335337" TargetMode="External"/><Relationship Id="rId39" Type="http://schemas.openxmlformats.org/officeDocument/2006/relationships/hyperlink" Target="https://catalog.archives.gov/search-within/2767260?availableOnline=true&amp;sort=naId%3Aasc" TargetMode="External"/><Relationship Id="rId1607" Type="http://schemas.openxmlformats.org/officeDocument/2006/relationships/hyperlink" Target="https://familysearch.org/search/collection/1838804" TargetMode="External"/><Relationship Id="rId1814" Type="http://schemas.openxmlformats.org/officeDocument/2006/relationships/hyperlink" Target="https://search.ancestryinstitution.com/aird/search/db.aspx?dbid=1082" TargetMode="External"/><Relationship Id="rId3267" Type="http://schemas.openxmlformats.org/officeDocument/2006/relationships/hyperlink" Target="https://fraser.stlouisfed.org/archival-collection/records-women-s-bureau-5963" TargetMode="External"/><Relationship Id="rId188" Type="http://schemas.openxmlformats.org/officeDocument/2006/relationships/hyperlink" Target="https://catalog.archives.gov/search-within/654520?availableOnline=true&amp;sort=naId%3Aasc" TargetMode="External"/><Relationship Id="rId395" Type="http://schemas.openxmlformats.org/officeDocument/2006/relationships/hyperlink" Target="https://catalog.archives.gov/search?q=*:*&amp;f.ancestorNaIds=4477235&amp;sort=naIdSort%20asc" TargetMode="External"/><Relationship Id="rId2076" Type="http://schemas.openxmlformats.org/officeDocument/2006/relationships/hyperlink" Target="https://www.familysearch.org/wiki/en/Missouri_Naturalization_and_Citizenship" TargetMode="External"/><Relationship Id="rId2283" Type="http://schemas.openxmlformats.org/officeDocument/2006/relationships/hyperlink" Target="https://catalog.archives.gov/search?q=*:*&amp;f.ancestorNaIds=923647&amp;sort=naIdSort%20asc" TargetMode="External"/><Relationship Id="rId2490" Type="http://schemas.openxmlformats.org/officeDocument/2006/relationships/hyperlink" Target="https://search.ancestryinstitution.com/aird/search/db.aspx?dbid=2500" TargetMode="External"/><Relationship Id="rId2588" Type="http://schemas.openxmlformats.org/officeDocument/2006/relationships/hyperlink" Target="https://catalog.archives.gov/search?q=*:*&amp;f.ancestorNaIds=2694772&amp;sort=naIdSort%20asc&amp;f.fileFormat=image%2Fjpeg" TargetMode="External"/><Relationship Id="rId3127" Type="http://schemas.openxmlformats.org/officeDocument/2006/relationships/hyperlink" Target="https://catalog.archives.gov/search?q=*:*&amp;f.ancestorNaIds=7591749&amp;sort=naIdSort%20asc" TargetMode="External"/><Relationship Id="rId3334" Type="http://schemas.openxmlformats.org/officeDocument/2006/relationships/hyperlink" Target="https://search.ancestryinstitution.com/aird/search/db.aspx?dbid=7884" TargetMode="External"/><Relationship Id="rId255" Type="http://schemas.openxmlformats.org/officeDocument/2006/relationships/hyperlink" Target="https://catalog.archives.gov/search?q=*:*&amp;f.ancestorNaIds=895485&amp;f.fileFormat=image%2Fjpeg" TargetMode="External"/><Relationship Id="rId462" Type="http://schemas.openxmlformats.org/officeDocument/2006/relationships/hyperlink" Target="https://search.ancestryinstitution.com/search/db.aspx?dbid=1247" TargetMode="External"/><Relationship Id="rId1092" Type="http://schemas.openxmlformats.org/officeDocument/2006/relationships/hyperlink" Target="https://catalog.archives.gov/search?q=C72&amp;f.ancestorNaIds=1661897" TargetMode="External"/><Relationship Id="rId1397" Type="http://schemas.openxmlformats.org/officeDocument/2006/relationships/hyperlink" Target="https://search.ancestryinstitution.com/aird/search/db.aspx?dbid=1264" TargetMode="External"/><Relationship Id="rId2143" Type="http://schemas.openxmlformats.org/officeDocument/2006/relationships/hyperlink" Target="https://search.ancestryinstitution.com/aird/search/db.aspx?dbid=2375" TargetMode="External"/><Relationship Id="rId2350" Type="http://schemas.openxmlformats.org/officeDocument/2006/relationships/hyperlink" Target="https://search.ancestryinstitution.com/aird/search/db.aspx?dbid=1174" TargetMode="External"/><Relationship Id="rId2795" Type="http://schemas.openxmlformats.org/officeDocument/2006/relationships/hyperlink" Target="https://catalog.archives.gov/search?q=*:*&amp;f.ancestorNaIds=4522188&amp;sort=naIdSort%20asc" TargetMode="External"/><Relationship Id="rId115" Type="http://schemas.openxmlformats.org/officeDocument/2006/relationships/hyperlink" Target="https://catalog.archives.gov/search-within/2802334?availableOnline=true&amp;sort=naId%3Aasc" TargetMode="External"/><Relationship Id="rId322" Type="http://schemas.openxmlformats.org/officeDocument/2006/relationships/hyperlink" Target="http://familysearch.org/" TargetMode="External"/><Relationship Id="rId767" Type="http://schemas.openxmlformats.org/officeDocument/2006/relationships/hyperlink" Target="https://search.ancestryinstitution.com/aird/search/db.aspx?dbid=1042" TargetMode="External"/><Relationship Id="rId974" Type="http://schemas.openxmlformats.org/officeDocument/2006/relationships/hyperlink" Target="https://catalog.archives.gov/search?q=A4049&amp;f.ancestorNaIds=2953536&amp;sort=naIdSort%20asc" TargetMode="External"/><Relationship Id="rId2003" Type="http://schemas.openxmlformats.org/officeDocument/2006/relationships/hyperlink" Target="https://search.ancestryinstitution.com/aird/search/db.aspx?dbid=7484" TargetMode="External"/><Relationship Id="rId2210" Type="http://schemas.openxmlformats.org/officeDocument/2006/relationships/hyperlink" Target="https://search.ancestryinstitution.com/aird/search/db.aspx?dbid=2507" TargetMode="External"/><Relationship Id="rId2448" Type="http://schemas.openxmlformats.org/officeDocument/2006/relationships/hyperlink" Target="https://search.ancestryinstitution.com/aird/search/db.aspx?dbid=9282" TargetMode="External"/><Relationship Id="rId2655" Type="http://schemas.openxmlformats.org/officeDocument/2006/relationships/hyperlink" Target="https://familysearch.org/search/collection/2191222" TargetMode="External"/><Relationship Id="rId2862" Type="http://schemas.openxmlformats.org/officeDocument/2006/relationships/hyperlink" Target="https://catalog.archives.gov/search?q=*:*&amp;f.ancestorNaIds=4693983&amp;sort=titleSort%20asc" TargetMode="External"/><Relationship Id="rId627" Type="http://schemas.openxmlformats.org/officeDocument/2006/relationships/hyperlink" Target="https://catalog.archives.gov/search?q=A3558&amp;f.ancestorNaIds=2663479&amp;sort=naIdSort%20asc" TargetMode="External"/><Relationship Id="rId834" Type="http://schemas.openxmlformats.org/officeDocument/2006/relationships/hyperlink" Target="https://catalog.archives.gov/search?q=A3845&amp;f.ancestorNaIds=2934374&amp;sort=naIdSort%20asc" TargetMode="External"/><Relationship Id="rId1257" Type="http://schemas.openxmlformats.org/officeDocument/2006/relationships/hyperlink" Target="https://search.ancestryinstitution.com/aird/search/db.aspx?dbid=2344" TargetMode="External"/><Relationship Id="rId1464" Type="http://schemas.openxmlformats.org/officeDocument/2006/relationships/hyperlink" Target="https://search.ancestryinstitution.com/aird/search/db.aspx?dbid=1264" TargetMode="External"/><Relationship Id="rId1671" Type="http://schemas.openxmlformats.org/officeDocument/2006/relationships/hyperlink" Target="https://familysearch.org/search/collection/2185163" TargetMode="External"/><Relationship Id="rId2308" Type="http://schemas.openxmlformats.org/officeDocument/2006/relationships/hyperlink" Target="https://familysearch.org/search/collection/2173973" TargetMode="External"/><Relationship Id="rId2515" Type="http://schemas.openxmlformats.org/officeDocument/2006/relationships/hyperlink" Target="https://catalog.archives.gov/search?q=*:*&amp;f.ancestorNaIds=2524342&amp;sort=naIdSort%20asc" TargetMode="External"/><Relationship Id="rId2722" Type="http://schemas.openxmlformats.org/officeDocument/2006/relationships/hyperlink" Target="https://familysearch.org/search/collection/2137708" TargetMode="External"/><Relationship Id="rId901" Type="http://schemas.openxmlformats.org/officeDocument/2006/relationships/hyperlink" Target="https://catalog.archives.gov/search?q=A3951&amp;f.ancestorNaIds=2788722&amp;sort=naIdSort%20asc" TargetMode="External"/><Relationship Id="rId1117" Type="http://schemas.openxmlformats.org/officeDocument/2006/relationships/hyperlink" Target="https://search.ancestryinstitution.com/aird/search/db.aspx?dbid=1198" TargetMode="External"/><Relationship Id="rId1324" Type="http://schemas.openxmlformats.org/officeDocument/2006/relationships/hyperlink" Target="https://catalog.archives.gov/search-within/654530?q=record.microformPublications.identifier%3AM554&amp;sort=title%3Aasc" TargetMode="External"/><Relationship Id="rId1531" Type="http://schemas.openxmlformats.org/officeDocument/2006/relationships/hyperlink" Target="https://search.ancestryinstitution.com/aird/search/db.aspx?dbid=1299" TargetMode="External"/><Relationship Id="rId1769" Type="http://schemas.openxmlformats.org/officeDocument/2006/relationships/hyperlink" Target="https://search.ancestryinstitution.com/aird/search/db.aspx?dbid=1193" TargetMode="External"/><Relationship Id="rId1976" Type="http://schemas.openxmlformats.org/officeDocument/2006/relationships/hyperlink" Target="http://search.ancestryinstitution.com/aird/search/db.aspx?dbid=2499" TargetMode="External"/><Relationship Id="rId3191" Type="http://schemas.openxmlformats.org/officeDocument/2006/relationships/hyperlink" Target="http://www.footnote.com/title_650/" TargetMode="External"/><Relationship Id="rId30" Type="http://schemas.openxmlformats.org/officeDocument/2006/relationships/hyperlink" Target="https://catalog.archives.gov/search-within/2945979?availableOnline=true&amp;sort=naId%3Aasc" TargetMode="External"/><Relationship Id="rId1629" Type="http://schemas.openxmlformats.org/officeDocument/2006/relationships/hyperlink" Target="https://www.fold3.com/title/95/missing-air-crew-reports-wwii" TargetMode="External"/><Relationship Id="rId1836" Type="http://schemas.openxmlformats.org/officeDocument/2006/relationships/hyperlink" Target="https://catalog.archives.gov/search?q=*:*&amp;f.ancestorNaIds=4497940&amp;sort=naIdSort%20asc" TargetMode="External"/><Relationship Id="rId3289" Type="http://schemas.openxmlformats.org/officeDocument/2006/relationships/hyperlink" Target="https://familysearch.org/search/collection/2110821" TargetMode="External"/><Relationship Id="rId1903" Type="http://schemas.openxmlformats.org/officeDocument/2006/relationships/hyperlink" Target="https://search.ancestryinstitution.com/aird/search/db.aspx?dbid=3652" TargetMode="External"/><Relationship Id="rId2098" Type="http://schemas.openxmlformats.org/officeDocument/2006/relationships/hyperlink" Target="https://search.ancestryinstitution.com/aird/search/db.aspx?dbid=1002" TargetMode="External"/><Relationship Id="rId3051" Type="http://schemas.openxmlformats.org/officeDocument/2006/relationships/hyperlink" Target="https://search.ancestryinstitution.com/aird/search/db.aspx?dbid=4224" TargetMode="External"/><Relationship Id="rId3149" Type="http://schemas.openxmlformats.org/officeDocument/2006/relationships/hyperlink" Target="https://www.fold3.com/title_816/wwii_draft_registration_cards" TargetMode="External"/><Relationship Id="rId3356" Type="http://schemas.openxmlformats.org/officeDocument/2006/relationships/hyperlink" Target="https://familysearch.org/search/collection/1916042" TargetMode="External"/><Relationship Id="rId277" Type="http://schemas.openxmlformats.org/officeDocument/2006/relationships/hyperlink" Target="https://search.ancestryinstitution.com/aird/search/db.aspx?dbid=2502" TargetMode="External"/><Relationship Id="rId484" Type="http://schemas.openxmlformats.org/officeDocument/2006/relationships/hyperlink" Target="https://search.ancestryinstitution.com/search/db.aspx?dbid=1247" TargetMode="External"/><Relationship Id="rId2165" Type="http://schemas.openxmlformats.org/officeDocument/2006/relationships/hyperlink" Target="https://search.ancestryinstitution.com/aird/search/db.aspx?dbid=3998" TargetMode="External"/><Relationship Id="rId3009" Type="http://schemas.openxmlformats.org/officeDocument/2006/relationships/hyperlink" Target="https://www.fold3.com/title_816/wwii_draft_registration_cards" TargetMode="External"/><Relationship Id="rId3216" Type="http://schemas.openxmlformats.org/officeDocument/2006/relationships/hyperlink" Target="https://www.familysearch.org/search/collection/2075263" TargetMode="External"/><Relationship Id="rId137" Type="http://schemas.openxmlformats.org/officeDocument/2006/relationships/hyperlink" Target="https://catalog.archives.gov/search-within/2789502?availableOnline=true&amp;sort=naId%3Aasc" TargetMode="External"/><Relationship Id="rId344" Type="http://schemas.openxmlformats.org/officeDocument/2006/relationships/hyperlink" Target="http://familysearch.org/" TargetMode="External"/><Relationship Id="rId691" Type="http://schemas.openxmlformats.org/officeDocument/2006/relationships/hyperlink" Target="https://search.ancestryinstitution.com/aird/search/db.aspx?dbid=1502" TargetMode="External"/><Relationship Id="rId789" Type="http://schemas.openxmlformats.org/officeDocument/2006/relationships/hyperlink" Target="https://search.ancestryinstitution.com/aird/search/db.aspx?dbid=9124" TargetMode="External"/><Relationship Id="rId996" Type="http://schemas.openxmlformats.org/officeDocument/2006/relationships/hyperlink" Target="https://catalog.archives.gov/search?q=A4077&amp;f.ancestorNaIds=2983379&amp;sort=naIdSort%20asc" TargetMode="External"/><Relationship Id="rId2025" Type="http://schemas.openxmlformats.org/officeDocument/2006/relationships/hyperlink" Target="https://catalog.archives.gov/search?q=*:*&amp;f.ancestorNaIds=5821667&amp;sort=naIdSort%20asc" TargetMode="External"/><Relationship Id="rId2372" Type="http://schemas.openxmlformats.org/officeDocument/2006/relationships/hyperlink" Target="https://catalog.archives.gov/search?q=*:*&amp;f.ancestorNaIds=1261498&amp;sort=naIdSort%20asc" TargetMode="External"/><Relationship Id="rId2677" Type="http://schemas.openxmlformats.org/officeDocument/2006/relationships/hyperlink" Target="https://search.ancestryinstitution.com/aird/search/db.aspx?dbid=2509" TargetMode="External"/><Relationship Id="rId2884" Type="http://schemas.openxmlformats.org/officeDocument/2006/relationships/hyperlink" Target="https://catalog.archives.gov/search?q=*:*&amp;f.ancestorNaIds=4699297&amp;sort=naIdSort%20asc" TargetMode="External"/><Relationship Id="rId551" Type="http://schemas.openxmlformats.org/officeDocument/2006/relationships/hyperlink" Target="https://catalog.archives.gov/search?q=*:*&amp;f.ancestorNaIds=2848439&amp;sort=naIdSort%20asc" TargetMode="External"/><Relationship Id="rId649" Type="http://schemas.openxmlformats.org/officeDocument/2006/relationships/hyperlink" Target="https://search.ancestryinstitution.com/aird/search/db.aspx?dbid=1502" TargetMode="External"/><Relationship Id="rId856" Type="http://schemas.openxmlformats.org/officeDocument/2006/relationships/hyperlink" Target="https://catalog.archives.gov/search?q=A3871&amp;f.ancestorNaIds=2794672&amp;sort=naIdSort%20asc" TargetMode="External"/><Relationship Id="rId1181" Type="http://schemas.openxmlformats.org/officeDocument/2006/relationships/hyperlink" Target="https://www.fold3.com/title_28/civil_war_soldiers_confederate_az" TargetMode="External"/><Relationship Id="rId1279" Type="http://schemas.openxmlformats.org/officeDocument/2006/relationships/hyperlink" Target="https://search.ancestryinstitution.com/aird/search/db.aspx?dbid=2344" TargetMode="External"/><Relationship Id="rId1486" Type="http://schemas.openxmlformats.org/officeDocument/2006/relationships/hyperlink" Target="https://catalog.archives.gov/search?q=*:*&amp;f.ancestorNaIds=17027522" TargetMode="External"/><Relationship Id="rId2232" Type="http://schemas.openxmlformats.org/officeDocument/2006/relationships/hyperlink" Target="https://search.ancestryinstitution.com/aird/search/db.aspx?dbid=2512" TargetMode="External"/><Relationship Id="rId2537" Type="http://schemas.openxmlformats.org/officeDocument/2006/relationships/hyperlink" Target="https://catalog.archives.gov/search?q=*:*&amp;f.ancestorNaIds=2602416&amp;sort=naIdSort%20asc" TargetMode="External"/><Relationship Id="rId204" Type="http://schemas.openxmlformats.org/officeDocument/2006/relationships/hyperlink" Target="https://search.ancestryinstitution.com/aird/search/db.aspx?dbid=2232" TargetMode="External"/><Relationship Id="rId411" Type="http://schemas.openxmlformats.org/officeDocument/2006/relationships/hyperlink" Target="https://search.ancestryinstitution.com/search/db.aspx?dbid=1075" TargetMode="External"/><Relationship Id="rId509" Type="http://schemas.openxmlformats.org/officeDocument/2006/relationships/hyperlink" Target="https://catalog.archives.gov/search?q=A3458&amp;f.ancestorNaIds=2945720" TargetMode="External"/><Relationship Id="rId1041" Type="http://schemas.openxmlformats.org/officeDocument/2006/relationships/hyperlink" Target="https://search.ancestryinstitution.com/aird/search/db.aspx?dbid=2257" TargetMode="External"/><Relationship Id="rId1139" Type="http://schemas.openxmlformats.org/officeDocument/2006/relationships/hyperlink" Target="https://search.ancestryinstitution.com/aird/search/db.aspx?dbid=7484" TargetMode="External"/><Relationship Id="rId1346" Type="http://schemas.openxmlformats.org/officeDocument/2006/relationships/hyperlink" Target="https://search.ancestryinstitution.com/aird/search/db.aspx?dbid=1634" TargetMode="External"/><Relationship Id="rId1693" Type="http://schemas.openxmlformats.org/officeDocument/2006/relationships/hyperlink" Target="https://catalog.archives.gov/search?q=M1500%20ancestry&amp;f.oldScope=online&amp;f.recordGroupNoCollectionId=85" TargetMode="External"/><Relationship Id="rId1998" Type="http://schemas.openxmlformats.org/officeDocument/2006/relationships/hyperlink" Target="https://catalog.archives.gov/search-within/300398?page=2&amp;q=record.microformPublications.identifier%3AM2004&amp;sort=title%3Aasc" TargetMode="External"/><Relationship Id="rId2744" Type="http://schemas.openxmlformats.org/officeDocument/2006/relationships/hyperlink" Target="https://catalog.archives.gov/search?q=*:*&amp;f.ancestorNaIds=4499444&amp;sort=titleSort%20asc" TargetMode="External"/><Relationship Id="rId2951" Type="http://schemas.openxmlformats.org/officeDocument/2006/relationships/hyperlink" Target="http://familysearch.org/" TargetMode="External"/><Relationship Id="rId716" Type="http://schemas.openxmlformats.org/officeDocument/2006/relationships/hyperlink" Target="https://search.ancestryinstitution.com/search/db.aspx?dbid=2996" TargetMode="External"/><Relationship Id="rId923" Type="http://schemas.openxmlformats.org/officeDocument/2006/relationships/hyperlink" Target="https://catalog.archives.gov/search?q=A3976&amp;f.ancestorNaIds=2694350" TargetMode="External"/><Relationship Id="rId1553" Type="http://schemas.openxmlformats.org/officeDocument/2006/relationships/hyperlink" Target="https://www.fold3.com/title/74/fbi-case-files" TargetMode="External"/><Relationship Id="rId1760" Type="http://schemas.openxmlformats.org/officeDocument/2006/relationships/hyperlink" Target="https://www.fold3.com/title/113/naturalizations-md" TargetMode="External"/><Relationship Id="rId1858" Type="http://schemas.openxmlformats.org/officeDocument/2006/relationships/hyperlink" Target="https://search.ancestryinstitution.com/aird/search/db.aspx?dbid=2973" TargetMode="External"/><Relationship Id="rId2604" Type="http://schemas.openxmlformats.org/officeDocument/2006/relationships/hyperlink" Target="https://search.ancestryinstitution.com/aird/search/db.aspx?dbid=2505" TargetMode="External"/><Relationship Id="rId2811" Type="http://schemas.openxmlformats.org/officeDocument/2006/relationships/hyperlink" Target="https://search.ancestryinstitution.com/aird/search/db.aspx?dbid=2509" TargetMode="External"/><Relationship Id="rId52" Type="http://schemas.openxmlformats.org/officeDocument/2006/relationships/hyperlink" Target="https://search.ancestryinstitution.com/search/db.aspx?dbid=8722" TargetMode="External"/><Relationship Id="rId1206" Type="http://schemas.openxmlformats.org/officeDocument/2006/relationships/hyperlink" Target="https://search.ancestryinstitution.com/aird/search/db.aspx?dbid=2322" TargetMode="External"/><Relationship Id="rId1413" Type="http://schemas.openxmlformats.org/officeDocument/2006/relationships/hyperlink" Target="https://search.ancestryinstitution.com/aird/search/db.aspx?dbid=1264" TargetMode="External"/><Relationship Id="rId1620" Type="http://schemas.openxmlformats.org/officeDocument/2006/relationships/hyperlink" Target="https://www.fold3.com/title/1/admiralty-records-key-west" TargetMode="External"/><Relationship Id="rId2909" Type="http://schemas.openxmlformats.org/officeDocument/2006/relationships/hyperlink" Target="https://catalog.archives.gov/search-within/4707087" TargetMode="External"/><Relationship Id="rId3073" Type="http://schemas.openxmlformats.org/officeDocument/2006/relationships/hyperlink" Target="https://www.familysearch.org/wiki/en/Missouri_Naturalization_and_Citizenship" TargetMode="External"/><Relationship Id="rId3280" Type="http://schemas.openxmlformats.org/officeDocument/2006/relationships/hyperlink" Target="https://aad.archives.gov/aad/fielded-search.jsp?dt=197&amp;tf=F&amp;cat=SB123&amp;bc=sb,sl" TargetMode="External"/><Relationship Id="rId1718" Type="http://schemas.openxmlformats.org/officeDocument/2006/relationships/hyperlink" Target="https://catalog.archives.gov/search?q=M1537&amp;f.level=fileunit&amp;f.recordGroupNoCollectionId=21&amp;f.oldScope=online" TargetMode="External"/><Relationship Id="rId1925" Type="http://schemas.openxmlformats.org/officeDocument/2006/relationships/hyperlink" Target="https://catalog.archives.gov/search?q=*:*&amp;f.ancestorNaIds=5573655&amp;sort=naIdSort%20asc&amp;f.oldScope=online&amp;f.level=fileunit" TargetMode="External"/><Relationship Id="rId3140" Type="http://schemas.openxmlformats.org/officeDocument/2006/relationships/hyperlink" Target="https://www.fold3.com/title_816/wwii_draft_registration_cards" TargetMode="External"/><Relationship Id="rId3378" Type="http://schemas.openxmlformats.org/officeDocument/2006/relationships/hyperlink" Target="https://catalog.archives.gov/search?q=*:*&amp;f.ancestorNaIds=2791287&amp;sort=naIdSort%20asc" TargetMode="External"/><Relationship Id="rId299" Type="http://schemas.openxmlformats.org/officeDocument/2006/relationships/hyperlink" Target="https://search.ancestryinstitution.com/aird/search/db.aspx?dbid=2507" TargetMode="External"/><Relationship Id="rId2187" Type="http://schemas.openxmlformats.org/officeDocument/2006/relationships/hyperlink" Target="https://catalog.archives.gov/search?q=*:*&amp;f.ancestorNaIds=618171&amp;sort=naIdSort%20asc" TargetMode="External"/><Relationship Id="rId2394" Type="http://schemas.openxmlformats.org/officeDocument/2006/relationships/hyperlink" Target="https://familysearch.org/search/collection/2302948" TargetMode="External"/><Relationship Id="rId3238" Type="http://schemas.openxmlformats.org/officeDocument/2006/relationships/hyperlink" Target="https://catalog.archives.gov/search?q=*:*&amp;f.ancestorNaIds=82510610&amp;sort=naIdSort%20asc" TargetMode="External"/><Relationship Id="rId159" Type="http://schemas.openxmlformats.org/officeDocument/2006/relationships/hyperlink" Target="https://catalog.archives.gov/search-within/2945994?availableOnline=true&amp;sort=naId%3Aasc" TargetMode="External"/><Relationship Id="rId366" Type="http://schemas.openxmlformats.org/officeDocument/2006/relationships/hyperlink" Target="https://catalog.archives.gov/search?q=*:*&amp;f.ancestorNaIds=4499532&amp;sort=naIdSort%20asc" TargetMode="External"/><Relationship Id="rId573" Type="http://schemas.openxmlformats.org/officeDocument/2006/relationships/hyperlink" Target="https://search.ancestryinstitution.com/aird/search/db.aspx?dbid=9118" TargetMode="External"/><Relationship Id="rId780" Type="http://schemas.openxmlformats.org/officeDocument/2006/relationships/hyperlink" Target="https://search.ancestryinstitution.com/aird/search/db.aspx?dbid=9127" TargetMode="External"/><Relationship Id="rId2047" Type="http://schemas.openxmlformats.org/officeDocument/2006/relationships/hyperlink" Target="https://search.ancestryinstitution.com/aird/search/db.aspx?dbid=1616" TargetMode="External"/><Relationship Id="rId2254" Type="http://schemas.openxmlformats.org/officeDocument/2006/relationships/hyperlink" Target="https://catalog.archives.gov/search?q=*:*&amp;f.ancestorNaIds=731222&amp;sort=naIdSort%20asc" TargetMode="External"/><Relationship Id="rId2461" Type="http://schemas.openxmlformats.org/officeDocument/2006/relationships/hyperlink" Target="https://search.ancestryinstitution.com/aird/search/db.aspx?dbid=2504" TargetMode="External"/><Relationship Id="rId2699" Type="http://schemas.openxmlformats.org/officeDocument/2006/relationships/hyperlink" Target="https://catalog.archives.gov/search-within/4325221" TargetMode="External"/><Relationship Id="rId3000" Type="http://schemas.openxmlformats.org/officeDocument/2006/relationships/hyperlink" Target="https://catalog.archives.gov/id/159259335" TargetMode="External"/><Relationship Id="rId3305" Type="http://schemas.openxmlformats.org/officeDocument/2006/relationships/hyperlink" Target="https://aad.archives.gov/aad/series-description.jsp?s=574&amp;cat=SB81&amp;bc=sb,sl" TargetMode="External"/><Relationship Id="rId226" Type="http://schemas.openxmlformats.org/officeDocument/2006/relationships/hyperlink" Target="http://www.footnote.com/title_877/" TargetMode="External"/><Relationship Id="rId433" Type="http://schemas.openxmlformats.org/officeDocument/2006/relationships/hyperlink" Target="https://catalog.archives.gov/search?q=*:*&amp;f.ancestorNaIds=4497867&amp;sort=naIdSort%20asc" TargetMode="External"/><Relationship Id="rId878" Type="http://schemas.openxmlformats.org/officeDocument/2006/relationships/hyperlink" Target="https://search.ancestryinstitution.com/aird/search/db.aspx?dbid=9110" TargetMode="External"/><Relationship Id="rId1063" Type="http://schemas.openxmlformats.org/officeDocument/2006/relationships/hyperlink" Target="https://catalog.archives.gov/search?q=A4178&amp;f.ancestorNaIds=4713134&amp;sort=naIdSort%20asc" TargetMode="External"/><Relationship Id="rId1270" Type="http://schemas.openxmlformats.org/officeDocument/2006/relationships/hyperlink" Target="https://catalog.archives.gov/search-within/300398?page=2&amp;q=record.microformPublications.identifier%3AM405&amp;sort=title%3Aasc" TargetMode="External"/><Relationship Id="rId2114" Type="http://schemas.openxmlformats.org/officeDocument/2006/relationships/hyperlink" Target="https://search.ancestryinstitution.com/aird/search/db.aspx?dbid=2509" TargetMode="External"/><Relationship Id="rId2559" Type="http://schemas.openxmlformats.org/officeDocument/2006/relationships/hyperlink" Target="https://search.ancestryinstitution.com/aird/search/db.aspx?dbid=2503" TargetMode="External"/><Relationship Id="rId2766" Type="http://schemas.openxmlformats.org/officeDocument/2006/relationships/hyperlink" Target="https://search.ancestryinstitution.com/aird/search/db.aspx?dbid=2507" TargetMode="External"/><Relationship Id="rId2973" Type="http://schemas.openxmlformats.org/officeDocument/2006/relationships/hyperlink" Target="https://search.ancestryinstitution.com/aird/search/db.aspx?dbid=2507" TargetMode="External"/><Relationship Id="rId640" Type="http://schemas.openxmlformats.org/officeDocument/2006/relationships/hyperlink" Target="https://catalog.archives.gov/search?q=*:*&amp;f.ancestorNaIds=2353537" TargetMode="External"/><Relationship Id="rId738" Type="http://schemas.openxmlformats.org/officeDocument/2006/relationships/hyperlink" Target="https://catalog.archives.gov/search?q=A3677&amp;f.ancestorNaIds=3039651&amp;sort=naIdSort%20asc" TargetMode="External"/><Relationship Id="rId945" Type="http://schemas.openxmlformats.org/officeDocument/2006/relationships/hyperlink" Target="https://catalog.archives.gov/search?q=A3999&amp;f.ancestorNaIds=3432913&amp;sort=naIdSort%20asc" TargetMode="External"/><Relationship Id="rId1368" Type="http://schemas.openxmlformats.org/officeDocument/2006/relationships/hyperlink" Target="https://familysearch.org/search/collection/1987567" TargetMode="External"/><Relationship Id="rId1575" Type="http://schemas.openxmlformats.org/officeDocument/2006/relationships/hyperlink" Target="http://www.footnote.com/title_102/" TargetMode="External"/><Relationship Id="rId1782" Type="http://schemas.openxmlformats.org/officeDocument/2006/relationships/hyperlink" Target="https://search.ancestryinstitution.com/aird/search/db.aspx?dbid=1629" TargetMode="External"/><Relationship Id="rId2321" Type="http://schemas.openxmlformats.org/officeDocument/2006/relationships/hyperlink" Target="https://catalog.archives.gov/search?q=*:*&amp;f.ancestorNaIds=1150696&amp;sort=naIdSort%20asc" TargetMode="External"/><Relationship Id="rId2419" Type="http://schemas.openxmlformats.org/officeDocument/2006/relationships/hyperlink" Target="https://search.ancestryinstitution.com/aird/search/db.aspx?dbid=1850" TargetMode="External"/><Relationship Id="rId2626" Type="http://schemas.openxmlformats.org/officeDocument/2006/relationships/hyperlink" Target="https://catalog.archives.gov/search-within/2934411" TargetMode="External"/><Relationship Id="rId2833" Type="http://schemas.openxmlformats.org/officeDocument/2006/relationships/hyperlink" Target="https://www.familysearch.org/search/catalog/3303033" TargetMode="External"/><Relationship Id="rId74" Type="http://schemas.openxmlformats.org/officeDocument/2006/relationships/hyperlink" Target="https://search.ancestryinstitution.com/search/db.aspx?dbid=8722" TargetMode="External"/><Relationship Id="rId500" Type="http://schemas.openxmlformats.org/officeDocument/2006/relationships/hyperlink" Target="https://catalog.archives.gov/search?q=*:*&amp;f.ancestorNaIds=4042477&amp;sort=naIdSort%20asc" TargetMode="External"/><Relationship Id="rId805" Type="http://schemas.openxmlformats.org/officeDocument/2006/relationships/hyperlink" Target="https://catalog.archives.gov/search?q=A3805&amp;f.ancestorNaIds=2953525&amp;sort=naIdSort%20asc" TargetMode="External"/><Relationship Id="rId1130" Type="http://schemas.openxmlformats.org/officeDocument/2006/relationships/hyperlink" Target="https://familysearch.org/search/collection/1803765" TargetMode="External"/><Relationship Id="rId1228" Type="http://schemas.openxmlformats.org/officeDocument/2006/relationships/hyperlink" Target="https://search.ancestry.com/search/db.aspx?dbid=2344" TargetMode="External"/><Relationship Id="rId1435" Type="http://schemas.openxmlformats.org/officeDocument/2006/relationships/hyperlink" Target="https://search.ancestryinstitution.com/aird/search/db.aspx?dbid=1264" TargetMode="External"/><Relationship Id="rId1642" Type="http://schemas.openxmlformats.org/officeDocument/2006/relationships/hyperlink" Target="http://www.footnote.com/title_12/" TargetMode="External"/><Relationship Id="rId1947" Type="http://schemas.openxmlformats.org/officeDocument/2006/relationships/hyperlink" Target="http://www.fold3.com/title_847/" TargetMode="External"/><Relationship Id="rId2900" Type="http://schemas.openxmlformats.org/officeDocument/2006/relationships/hyperlink" Target="https://search.ancestryinstitution.com/aird/search/db.aspx?dbid=2507" TargetMode="External"/><Relationship Id="rId3095" Type="http://schemas.openxmlformats.org/officeDocument/2006/relationships/hyperlink" Target="https://search.ancestryinstitution.com/aird/search/db.aspx?dbid=60593" TargetMode="External"/><Relationship Id="rId1502" Type="http://schemas.openxmlformats.org/officeDocument/2006/relationships/hyperlink" Target="https://www.fold3.com/title/452/photos-coolidge" TargetMode="External"/><Relationship Id="rId1807" Type="http://schemas.openxmlformats.org/officeDocument/2006/relationships/hyperlink" Target="https://www.fold3.com/title/4/amistad-federal-court-records" TargetMode="External"/><Relationship Id="rId3162" Type="http://schemas.openxmlformats.org/officeDocument/2006/relationships/hyperlink" Target="https://search.ancestryinstitution.com/aird/search/db.aspx?dbid=2238" TargetMode="External"/><Relationship Id="rId290" Type="http://schemas.openxmlformats.org/officeDocument/2006/relationships/hyperlink" Target="https://catalog.archives.gov/search?q=*:*&amp;f.ancestorNaIds=3555649&amp;sort=naIdSort%20asc" TargetMode="External"/><Relationship Id="rId388" Type="http://schemas.openxmlformats.org/officeDocument/2006/relationships/hyperlink" Target="https://catalog.archives.gov/search?q=*:*&amp;f.ancestorNaIds=4504610&amp;sort=naIdSort%20asc" TargetMode="External"/><Relationship Id="rId2069" Type="http://schemas.openxmlformats.org/officeDocument/2006/relationships/hyperlink" Target="http://www.footnote.com/title_761/" TargetMode="External"/><Relationship Id="rId3022" Type="http://schemas.openxmlformats.org/officeDocument/2006/relationships/hyperlink" Target="https://catalog.archives.gov/search?q=*:*&amp;f.ancestorNaIds=6037007&amp;sort=naIdSort%20asc" TargetMode="External"/><Relationship Id="rId150" Type="http://schemas.openxmlformats.org/officeDocument/2006/relationships/hyperlink" Target="https://catalog.archives.gov/search-within/3335534?availableOnline=true&amp;sort=naId%3Aasc" TargetMode="External"/><Relationship Id="rId595" Type="http://schemas.openxmlformats.org/officeDocument/2006/relationships/hyperlink" Target="https://catalog.archives.gov/search?q=*:*&amp;f.ancestorNaIds=2790491&amp;sort=naIdSort%20asc" TargetMode="External"/><Relationship Id="rId2276" Type="http://schemas.openxmlformats.org/officeDocument/2006/relationships/hyperlink" Target="https://www.familysearch.org/search/catalog/2842203" TargetMode="External"/><Relationship Id="rId2483" Type="http://schemas.openxmlformats.org/officeDocument/2006/relationships/hyperlink" Target="https://catalog.archives.gov/search?q=*:*&amp;f.ancestorNaIds=2385493&amp;sort=naIdSort%20asc" TargetMode="External"/><Relationship Id="rId2690" Type="http://schemas.openxmlformats.org/officeDocument/2006/relationships/hyperlink" Target="https://search.ancestryinstitution.com/aird/search/db.aspx?dbid=2509" TargetMode="External"/><Relationship Id="rId3327" Type="http://schemas.openxmlformats.org/officeDocument/2006/relationships/hyperlink" Target="https://familysearch.org/search/collection/2299396" TargetMode="External"/><Relationship Id="rId248" Type="http://schemas.openxmlformats.org/officeDocument/2006/relationships/hyperlink" Target="https://catalog.archives.gov/search?q=*:*&amp;f.parentNaId=646080" TargetMode="External"/><Relationship Id="rId455" Type="http://schemas.openxmlformats.org/officeDocument/2006/relationships/hyperlink" Target="https://www.familysearch.org/search/collection/2427242" TargetMode="External"/><Relationship Id="rId662" Type="http://schemas.openxmlformats.org/officeDocument/2006/relationships/hyperlink" Target="https://catalog.archives.gov/search?q=A3593&amp;f.ancestorNaIds=2655153" TargetMode="External"/><Relationship Id="rId1085" Type="http://schemas.openxmlformats.org/officeDocument/2006/relationships/hyperlink" Target="https://catalog.archives.gov/search?q=*:*&amp;f.ancestorNaIds=4076541&amp;sort=naIdSort%20asc" TargetMode="External"/><Relationship Id="rId1292" Type="http://schemas.openxmlformats.org/officeDocument/2006/relationships/hyperlink" Target="https://catalog.archives.gov/search?q=M520&amp;f.ancestorNaIds=302045&amp;sort=naIdSort%20asc" TargetMode="External"/><Relationship Id="rId2136" Type="http://schemas.openxmlformats.org/officeDocument/2006/relationships/hyperlink" Target="https://search.ancestryinstitution.com/aird/search/db.aspx?dbid=2507" TargetMode="External"/><Relationship Id="rId2343" Type="http://schemas.openxmlformats.org/officeDocument/2006/relationships/hyperlink" Target="https://catalog.archives.gov/search?q=*:*&amp;f.ancestorNaIds=1226166&amp;sort=naIdSort%20asc" TargetMode="External"/><Relationship Id="rId2550" Type="http://schemas.openxmlformats.org/officeDocument/2006/relationships/hyperlink" Target="https://catalog.archives.gov/search?q=*:*&amp;f.ancestorNaIds=2629233&amp;sort=naIdSort%20asc" TargetMode="External"/><Relationship Id="rId2788" Type="http://schemas.openxmlformats.org/officeDocument/2006/relationships/hyperlink" Target="https://search.ancestryinstitution.com/aird/search/db.aspx?dbid=2509" TargetMode="External"/><Relationship Id="rId2995" Type="http://schemas.openxmlformats.org/officeDocument/2006/relationships/hyperlink" Target="https://search.ancestryinstitution.com/aird/search/db.aspx?dbid=60593" TargetMode="External"/><Relationship Id="rId108" Type="http://schemas.openxmlformats.org/officeDocument/2006/relationships/hyperlink" Target="https://search.ancestryinstitution.com/search/db.aspx?dbid=60882" TargetMode="External"/><Relationship Id="rId315" Type="http://schemas.openxmlformats.org/officeDocument/2006/relationships/hyperlink" Target="https://catalog.archives.gov/search?q=*:*&amp;f.ancestorNaIds=24200771" TargetMode="External"/><Relationship Id="rId522" Type="http://schemas.openxmlformats.org/officeDocument/2006/relationships/hyperlink" Target="https://search.ancestryinstitution.com/aird/search/db.aspx?dbid=2055" TargetMode="External"/><Relationship Id="rId967" Type="http://schemas.openxmlformats.org/officeDocument/2006/relationships/hyperlink" Target="https://catalog.archives.gov/search?q=*:*&amp;f.ancestorNaIds=2838615&amp;sort=naIdSort%20asc" TargetMode="External"/><Relationship Id="rId1152" Type="http://schemas.openxmlformats.org/officeDocument/2006/relationships/hyperlink" Target="https://catalog.archives.gov/search?q=M268&amp;f.ancestorNaIds=586957" TargetMode="External"/><Relationship Id="rId1597" Type="http://schemas.openxmlformats.org/officeDocument/2006/relationships/hyperlink" Target="https://familysearch.org/search/collection/1937344" TargetMode="External"/><Relationship Id="rId2203" Type="http://schemas.openxmlformats.org/officeDocument/2006/relationships/hyperlink" Target="https://catalog.archives.gov/search?q=*:*&amp;f.ancestorNaIds=638273" TargetMode="External"/><Relationship Id="rId2410" Type="http://schemas.openxmlformats.org/officeDocument/2006/relationships/hyperlink" Target="https://catalog.archives.gov/search?q=*:*&amp;f.ancestorNaIds=2111793&amp;sort=naIdSort%20asc" TargetMode="External"/><Relationship Id="rId2648" Type="http://schemas.openxmlformats.org/officeDocument/2006/relationships/hyperlink" Target="https://familysearch.org/search/collection/2191222" TargetMode="External"/><Relationship Id="rId2855" Type="http://schemas.openxmlformats.org/officeDocument/2006/relationships/hyperlink" Target="https://catalog.archives.gov/search?q=*:*&amp;f.ancestorNaIds=4688501&amp;sort=naIdSort%20asc" TargetMode="External"/><Relationship Id="rId96" Type="http://schemas.openxmlformats.org/officeDocument/2006/relationships/hyperlink" Target="https://catalog.archives.gov/search-within/2843158?availableOnline=true&amp;sort=naId%3Aasc" TargetMode="External"/><Relationship Id="rId827" Type="http://schemas.openxmlformats.org/officeDocument/2006/relationships/hyperlink" Target="https://search.ancestryinstitution.com/aird/search/db.aspx?dbid=8842" TargetMode="External"/><Relationship Id="rId1012" Type="http://schemas.openxmlformats.org/officeDocument/2006/relationships/hyperlink" Target="https://search.ancestryinstitution.com/aird/search/db.aspx?dbid=60501" TargetMode="External"/><Relationship Id="rId1457" Type="http://schemas.openxmlformats.org/officeDocument/2006/relationships/hyperlink" Target="https://familysearch.org/search/collection/2075263" TargetMode="External"/><Relationship Id="rId1664" Type="http://schemas.openxmlformats.org/officeDocument/2006/relationships/hyperlink" Target="https://catalog.archives.gov/search?q=*:*&amp;f.ancestorNaIds=4477069&amp;sort=naIdSort%20asc" TargetMode="External"/><Relationship Id="rId1871" Type="http://schemas.openxmlformats.org/officeDocument/2006/relationships/hyperlink" Target="https://catalog.archives.gov/search-within/300398?page=2&amp;q=record.microformPublications.identifier%3AM1818&amp;sort=title%3Aasc" TargetMode="External"/><Relationship Id="rId2508" Type="http://schemas.openxmlformats.org/officeDocument/2006/relationships/hyperlink" Target="https://search.ancestryinstitution.com/aird/search/db.aspx?dbid=2503" TargetMode="External"/><Relationship Id="rId2715" Type="http://schemas.openxmlformats.org/officeDocument/2006/relationships/hyperlink" Target="https://catalog.archives.gov/search?q=*:*&amp;f.ancestorNaIds=4477677&amp;sort=naIdSort%20asc" TargetMode="External"/><Relationship Id="rId2922" Type="http://schemas.openxmlformats.org/officeDocument/2006/relationships/hyperlink" Target="https://catalog.archives.gov/search-within/4835082" TargetMode="External"/><Relationship Id="rId1317" Type="http://schemas.openxmlformats.org/officeDocument/2006/relationships/hyperlink" Target="http://www.fold3.com/title_818/" TargetMode="External"/><Relationship Id="rId1524" Type="http://schemas.openxmlformats.org/officeDocument/2006/relationships/hyperlink" Target="https://www.fold3.com/title/488/wwi-supreme-war-council-american-records" TargetMode="External"/><Relationship Id="rId1731" Type="http://schemas.openxmlformats.org/officeDocument/2006/relationships/hyperlink" Target="https://search.ancestryinstitution.com/aird/search/db.aspx?dbid=1192" TargetMode="External"/><Relationship Id="rId1969" Type="http://schemas.openxmlformats.org/officeDocument/2006/relationships/hyperlink" Target="https://search.ancestryinstitution.com/aird/search/db.aspx?dbid=2344" TargetMode="External"/><Relationship Id="rId3184" Type="http://schemas.openxmlformats.org/officeDocument/2006/relationships/hyperlink" Target="https://catalog.archives.gov/search?q=*:*&amp;f.ancestorNaIds=7820297&amp;sort=naIdSort%20asc" TargetMode="External"/><Relationship Id="rId23" Type="http://schemas.openxmlformats.org/officeDocument/2006/relationships/hyperlink" Target="https://catalog.archives.gov/search-within/3020748?availableOnline=true&amp;sort=naId%3Aasc" TargetMode="External"/><Relationship Id="rId1829" Type="http://schemas.openxmlformats.org/officeDocument/2006/relationships/hyperlink" Target="https://search.ancestryinstitution.com/aird/search/db.aspx?dbid=1082" TargetMode="External"/><Relationship Id="rId2298" Type="http://schemas.openxmlformats.org/officeDocument/2006/relationships/hyperlink" Target="https://search.ancestryinstitution.com/aird/search/db.aspx?dbid=2500" TargetMode="External"/><Relationship Id="rId3044" Type="http://schemas.openxmlformats.org/officeDocument/2006/relationships/hyperlink" Target="https://search.ancestryinstitution.com/aird/search/db.aspx?dbid=60593" TargetMode="External"/><Relationship Id="rId3251" Type="http://schemas.openxmlformats.org/officeDocument/2006/relationships/hyperlink" Target="https://search.ancestryinstitution.com/aird/search/db.aspx?dbid=1174" TargetMode="External"/><Relationship Id="rId3349" Type="http://schemas.openxmlformats.org/officeDocument/2006/relationships/hyperlink" Target="https://catalog.archives.gov/search?q=*:*&amp;f.ancestorNaIds=4477487&amp;sort=naIdSort%20asc" TargetMode="External"/><Relationship Id="rId172" Type="http://schemas.openxmlformats.org/officeDocument/2006/relationships/hyperlink" Target="https://catalog.archives.gov/search-within/2848432?availableOnline=true&amp;sort=naId%3Aasc" TargetMode="External"/><Relationship Id="rId477" Type="http://schemas.openxmlformats.org/officeDocument/2006/relationships/hyperlink" Target="https://catalog.archives.gov/search?q=*:*&amp;f.ancestorNaIds=4477074&amp;sort=naIdSort%20asc" TargetMode="External"/><Relationship Id="rId684" Type="http://schemas.openxmlformats.org/officeDocument/2006/relationships/hyperlink" Target="https://search.ancestryinstitution.com/aird/search/db.aspx?dbid=2257" TargetMode="External"/><Relationship Id="rId2060" Type="http://schemas.openxmlformats.org/officeDocument/2006/relationships/hyperlink" Target="https://catalog.archives.gov/search-within/563732" TargetMode="External"/><Relationship Id="rId2158" Type="http://schemas.openxmlformats.org/officeDocument/2006/relationships/hyperlink" Target="https://drive.google.com/file/d/1ORLZf5jXk5K0xe0PrPpWWTLcGyTOV0F2/view?usp=drive_link" TargetMode="External"/><Relationship Id="rId2365" Type="http://schemas.openxmlformats.org/officeDocument/2006/relationships/hyperlink" Target="https://catalog.archives.gov/search?q=*:*&amp;f.ancestorNaIds=1253349&amp;sort=naIdSort%20asc" TargetMode="External"/><Relationship Id="rId3111" Type="http://schemas.openxmlformats.org/officeDocument/2006/relationships/hyperlink" Target="http://familysearch.org/" TargetMode="External"/><Relationship Id="rId3209" Type="http://schemas.openxmlformats.org/officeDocument/2006/relationships/hyperlink" Target="https://search.ancestryinstitution.com/aird/search/db.aspx?dbid=2280" TargetMode="External"/><Relationship Id="rId337" Type="http://schemas.openxmlformats.org/officeDocument/2006/relationships/hyperlink" Target="https://catalog.archives.gov/search?q=*:*&amp;f.ancestorNaIds=31491421" TargetMode="External"/><Relationship Id="rId891" Type="http://schemas.openxmlformats.org/officeDocument/2006/relationships/hyperlink" Target="https://catalog.archives.gov/search?q=*:*&amp;f.ancestorNaIds=2843119&amp;sort=naIdSort%20asc" TargetMode="External"/><Relationship Id="rId989" Type="http://schemas.openxmlformats.org/officeDocument/2006/relationships/hyperlink" Target="https://catalog.archives.gov/search?q=A40737&amp;f.ancestorNaIds=3033316&amp;sort=naIdSort%20asc" TargetMode="External"/><Relationship Id="rId2018" Type="http://schemas.openxmlformats.org/officeDocument/2006/relationships/hyperlink" Target="https://search.ancestryinstitution.com/aird/search/db.aspx?dbid=1217" TargetMode="External"/><Relationship Id="rId2572" Type="http://schemas.openxmlformats.org/officeDocument/2006/relationships/hyperlink" Target="https://search.ancestryinstitution.com/aird/search/db.aspx?dbid=2502" TargetMode="External"/><Relationship Id="rId2877" Type="http://schemas.openxmlformats.org/officeDocument/2006/relationships/hyperlink" Target="https://search.ancestryinstitution.com/aird/search/db.aspx?dbid=2507" TargetMode="External"/><Relationship Id="rId544" Type="http://schemas.openxmlformats.org/officeDocument/2006/relationships/hyperlink" Target="https://search.ancestryinstitution.com/aird/search/db.aspx?dbid=1075" TargetMode="External"/><Relationship Id="rId751" Type="http://schemas.openxmlformats.org/officeDocument/2006/relationships/hyperlink" Target="https://catalog.archives.gov/search?q=A3691&amp;f.ancestorNaIds=2945984&amp;sort=naIdSort%20asc" TargetMode="External"/><Relationship Id="rId849" Type="http://schemas.openxmlformats.org/officeDocument/2006/relationships/hyperlink" Target="https://search.ancestryinstitution.com/aird/search/db.aspx?dbid=60882" TargetMode="External"/><Relationship Id="rId1174" Type="http://schemas.openxmlformats.org/officeDocument/2006/relationships/hyperlink" Target="https://www.fold3.com/title/26/civil-war-service-records-cmsr-confederate-alabama" TargetMode="External"/><Relationship Id="rId1381" Type="http://schemas.openxmlformats.org/officeDocument/2006/relationships/hyperlink" Target="http://www.fold3.com/title_81/guion_miller_roll/" TargetMode="External"/><Relationship Id="rId1479" Type="http://schemas.openxmlformats.org/officeDocument/2006/relationships/hyperlink" Target="https://familysearch.org/search/collection/2427894" TargetMode="External"/><Relationship Id="rId1686" Type="http://schemas.openxmlformats.org/officeDocument/2006/relationships/hyperlink" Target="https://search.ancestryinstitution.com/aird/search/db.aspx?dbid=1105" TargetMode="External"/><Relationship Id="rId2225" Type="http://schemas.openxmlformats.org/officeDocument/2006/relationships/hyperlink" Target="https://search.ancestryinstitution.com/aird/search/db.aspx?dbid=2507" TargetMode="External"/><Relationship Id="rId2432" Type="http://schemas.openxmlformats.org/officeDocument/2006/relationships/hyperlink" Target="https://search.ancestryinstitution.com/aird/search/db.aspx?dbid=2500" TargetMode="External"/><Relationship Id="rId404" Type="http://schemas.openxmlformats.org/officeDocument/2006/relationships/hyperlink" Target="https://catalog.archives.gov/search?q=*:*&amp;f.ancestorNaIds=4492735&amp;sort=naIdSort%20asc" TargetMode="External"/><Relationship Id="rId611" Type="http://schemas.openxmlformats.org/officeDocument/2006/relationships/hyperlink" Target="https://catalog.archives.gov/search?q=*:*&amp;f.ancestorNaIds=3678982" TargetMode="External"/><Relationship Id="rId1034" Type="http://schemas.openxmlformats.org/officeDocument/2006/relationships/hyperlink" Target="https://ancestry.com/" TargetMode="External"/><Relationship Id="rId1241" Type="http://schemas.openxmlformats.org/officeDocument/2006/relationships/hyperlink" Target="https://search.ancestryinstitution.com/aird/search/db.aspx?dbid=2344" TargetMode="External"/><Relationship Id="rId1339" Type="http://schemas.openxmlformats.org/officeDocument/2006/relationships/hyperlink" Target="https://search.ancestryinstitution.com/aird/search/db.aspx?dbid=1118" TargetMode="External"/><Relationship Id="rId1893" Type="http://schemas.openxmlformats.org/officeDocument/2006/relationships/hyperlink" Target="https://search.ancestryinstitution.com/aird/search/db.aspx?dbid=1107" TargetMode="External"/><Relationship Id="rId2737" Type="http://schemas.openxmlformats.org/officeDocument/2006/relationships/hyperlink" Target="https://catalog.archives.gov/search?q=*:*&amp;f.ancestorNaIds=4492683&amp;sort=naIdSort%20asc" TargetMode="External"/><Relationship Id="rId2944" Type="http://schemas.openxmlformats.org/officeDocument/2006/relationships/hyperlink" Target="https://catalog.archives.gov/search?q=*:*&amp;f.ancestorNaIds=5635885&amp;sort=naIdSort%20asc" TargetMode="External"/><Relationship Id="rId709" Type="http://schemas.openxmlformats.org/officeDocument/2006/relationships/hyperlink" Target="https://catalog.archives.gov/search?q=A3631&amp;f.ancestorNaIds=3053985&amp;sort=naIdSort%20asc" TargetMode="External"/><Relationship Id="rId916" Type="http://schemas.openxmlformats.org/officeDocument/2006/relationships/hyperlink" Target="https://catalog.archives.gov/search?q=A3967&amp;f.ancestorNaIds=3021119&amp;sort=naIdSort%20asc" TargetMode="External"/><Relationship Id="rId1101" Type="http://schemas.openxmlformats.org/officeDocument/2006/relationships/hyperlink" Target="https://search.ancestryinstitution.com/aird/search/db.aspx?dbid=7590" TargetMode="External"/><Relationship Id="rId1546" Type="http://schemas.openxmlformats.org/officeDocument/2006/relationships/hyperlink" Target="https://familysearch.org/search/collection/1987567" TargetMode="External"/><Relationship Id="rId1753" Type="http://schemas.openxmlformats.org/officeDocument/2006/relationships/hyperlink" Target="https://search.ancestryinstitution.com/aird/search/db.aspx?dbid=1193" TargetMode="External"/><Relationship Id="rId1960" Type="http://schemas.openxmlformats.org/officeDocument/2006/relationships/hyperlink" Target="https://catalog.archives.gov/search?q=m1947%20Fold3&amp;f.level=fileunit&amp;sort=naIdSort%20asc&amp;f.recordGroupNoCollectionId=260&amp;f.oldScope=online" TargetMode="External"/><Relationship Id="rId2804" Type="http://schemas.openxmlformats.org/officeDocument/2006/relationships/hyperlink" Target="https://search.ancestryinstitution.com/aird/search/db.aspx?dbid=2512" TargetMode="External"/><Relationship Id="rId45" Type="http://schemas.openxmlformats.org/officeDocument/2006/relationships/hyperlink" Target="https://catalog.archives.gov/search-within/2645658?availableOnline=true&amp;sort=naId%3Aasc" TargetMode="External"/><Relationship Id="rId1406" Type="http://schemas.openxmlformats.org/officeDocument/2006/relationships/hyperlink" Target="https://familysearch.org/search/collection/2075263" TargetMode="External"/><Relationship Id="rId1613" Type="http://schemas.openxmlformats.org/officeDocument/2006/relationships/hyperlink" Target="https://familysearch.org/search/collection/1852353" TargetMode="External"/><Relationship Id="rId1820" Type="http://schemas.openxmlformats.org/officeDocument/2006/relationships/hyperlink" Target="https://catalog.archives.gov/search?q=M1762&amp;f.ancestorNaIds=566157" TargetMode="External"/><Relationship Id="rId3066" Type="http://schemas.openxmlformats.org/officeDocument/2006/relationships/hyperlink" Target="https://search.ancestryinstitution.com/aird/search/db.aspx?dbid=61174" TargetMode="External"/><Relationship Id="rId3273" Type="http://schemas.openxmlformats.org/officeDocument/2006/relationships/hyperlink" Target="https://catalog.archives.gov/id/559642" TargetMode="External"/><Relationship Id="rId194" Type="http://schemas.openxmlformats.org/officeDocument/2006/relationships/hyperlink" Target="https://catalog.archives.gov/search?q=M689&amp;ancestorNaId=300368" TargetMode="External"/><Relationship Id="rId1918" Type="http://schemas.openxmlformats.org/officeDocument/2006/relationships/hyperlink" Target="https://catalog.archives.gov/search?q=M1880&amp;f.parentNaId=563421&amp;f.level=fileUnit&amp;sort=naIdSort%20asc" TargetMode="External"/><Relationship Id="rId2082" Type="http://schemas.openxmlformats.org/officeDocument/2006/relationships/hyperlink" Target="https://search.ancestryinstitution.com/aird/search/db.aspx?dbid=2509" TargetMode="External"/><Relationship Id="rId3133" Type="http://schemas.openxmlformats.org/officeDocument/2006/relationships/hyperlink" Target="https://www.fold3.com/title_816/wwii_draft_registration_cards" TargetMode="External"/><Relationship Id="rId261" Type="http://schemas.openxmlformats.org/officeDocument/2006/relationships/hyperlink" Target="https://search.ancestryinstitution.com/aird/search/db.aspx?dbid=1616" TargetMode="External"/><Relationship Id="rId499" Type="http://schemas.openxmlformats.org/officeDocument/2006/relationships/hyperlink" Target="https://search.ancestryinstitution.com/aird/search/db.aspx?dbid=2055" TargetMode="External"/><Relationship Id="rId2387" Type="http://schemas.openxmlformats.org/officeDocument/2006/relationships/hyperlink" Target="https://catalog.archives.gov/search?q=*:*&amp;f.ancestorNaIds=1489167&amp;sort=naIdSort%20asc" TargetMode="External"/><Relationship Id="rId2594" Type="http://schemas.openxmlformats.org/officeDocument/2006/relationships/hyperlink" Target="https://catalog.archives.gov/search?q=*:*&amp;f.ancestorNaIds=2767350&amp;sort=naIdSort%20asc" TargetMode="External"/><Relationship Id="rId3340" Type="http://schemas.openxmlformats.org/officeDocument/2006/relationships/hyperlink" Target="https://catalog.archives.gov/search?q=t626&amp;f.recordGroupNoCollectionId=29" TargetMode="External"/><Relationship Id="rId359" Type="http://schemas.openxmlformats.org/officeDocument/2006/relationships/hyperlink" Target="https://catalog.archives.gov/search?q=*:*&amp;f.ancestorNaIds=4489131&amp;sort=naIdSort%20asc" TargetMode="External"/><Relationship Id="rId566" Type="http://schemas.openxmlformats.org/officeDocument/2006/relationships/hyperlink" Target="https://search.ancestryinstitution.com/search/db.aspx?dbid=5309" TargetMode="External"/><Relationship Id="rId773" Type="http://schemas.openxmlformats.org/officeDocument/2006/relationships/hyperlink" Target="https://catalog.archives.gov/search?q=*:*&amp;f.ancestorNaIds=2826629&amp;sort=naIdSort%20asc" TargetMode="External"/><Relationship Id="rId1196" Type="http://schemas.openxmlformats.org/officeDocument/2006/relationships/hyperlink" Target="https://familysearch.org/search/collection/1932374" TargetMode="External"/><Relationship Id="rId2247" Type="http://schemas.openxmlformats.org/officeDocument/2006/relationships/hyperlink" Target="https://search.ancestryinstitution.com/aird/search/db.aspx?dbid=2508" TargetMode="External"/><Relationship Id="rId2454" Type="http://schemas.openxmlformats.org/officeDocument/2006/relationships/hyperlink" Target="https://search.ancestryinstitution.com/aird/search/db.aspx?dbid=2500" TargetMode="External"/><Relationship Id="rId2899" Type="http://schemas.openxmlformats.org/officeDocument/2006/relationships/hyperlink" Target="https://search.ancestryinstitution.com/aird/search/db.aspx?dbid=2507" TargetMode="External"/><Relationship Id="rId3200" Type="http://schemas.openxmlformats.org/officeDocument/2006/relationships/hyperlink" Target="https://catalog.archives.gov/search?q=*:*&amp;f.ancestorNaIds=12620535&amp;sort=naIdSort%20asc" TargetMode="External"/><Relationship Id="rId121" Type="http://schemas.openxmlformats.org/officeDocument/2006/relationships/hyperlink" Target="https://catalog.archives.gov/search-within/2839458?availableOnline=true&amp;sort=naId%3Aasc" TargetMode="External"/><Relationship Id="rId219" Type="http://schemas.openxmlformats.org/officeDocument/2006/relationships/hyperlink" Target="https://familysearch.org/search/collection/2299401" TargetMode="External"/><Relationship Id="rId426" Type="http://schemas.openxmlformats.org/officeDocument/2006/relationships/hyperlink" Target="https://www.familysearch.org/search/collection/1913398" TargetMode="External"/><Relationship Id="rId633" Type="http://schemas.openxmlformats.org/officeDocument/2006/relationships/hyperlink" Target="https://catalog.archives.gov/search?q=A3561&amp;f.ancestorNaIds=2736783&amp;sort=naIdSort%20asc" TargetMode="External"/><Relationship Id="rId980" Type="http://schemas.openxmlformats.org/officeDocument/2006/relationships/hyperlink" Target="https://catalog.archives.gov/search?q=A4056&amp;f.ancestorNaIds=3318903&amp;sort=naIdSort%20asc" TargetMode="External"/><Relationship Id="rId1056" Type="http://schemas.openxmlformats.org/officeDocument/2006/relationships/hyperlink" Target="https://catalog.archives.gov/search?q=A4171&amp;f.ancestorNaIds=3334698&amp;sort=naIdSort%20asc" TargetMode="External"/><Relationship Id="rId1263" Type="http://schemas.openxmlformats.org/officeDocument/2006/relationships/hyperlink" Target="https://catalog.archives.gov/search-within/300398?page=2&amp;q=record.microformPublications.identifier%3AM403&amp;sort=title%3Aasc" TargetMode="External"/><Relationship Id="rId2107" Type="http://schemas.openxmlformats.org/officeDocument/2006/relationships/hyperlink" Target="https://search.ancestryinstitution.com/aird/search/db.aspx?dbid=2509" TargetMode="External"/><Relationship Id="rId2314" Type="http://schemas.openxmlformats.org/officeDocument/2006/relationships/hyperlink" Target="https://familysearch.org/search/collection/2173973" TargetMode="External"/><Relationship Id="rId2661" Type="http://schemas.openxmlformats.org/officeDocument/2006/relationships/hyperlink" Target="https://search.ancestryinstitution.com/aird/search/db.aspx?dbid=1850" TargetMode="External"/><Relationship Id="rId2759" Type="http://schemas.openxmlformats.org/officeDocument/2006/relationships/hyperlink" Target="https://search.ancestryinstitution.com/aird/search/db.aspx?dbid=2507" TargetMode="External"/><Relationship Id="rId2966" Type="http://schemas.openxmlformats.org/officeDocument/2006/relationships/hyperlink" Target="https://search.ancestryinstitution.com/aird/search/db.aspx?dbid=2503" TargetMode="External"/><Relationship Id="rId840" Type="http://schemas.openxmlformats.org/officeDocument/2006/relationships/hyperlink" Target="https://search.ancestryinstitution.com/aird/search/db.aspx?dbid=9120" TargetMode="External"/><Relationship Id="rId938" Type="http://schemas.openxmlformats.org/officeDocument/2006/relationships/hyperlink" Target="https://catalog.archives.gov/search?q=*:*&amp;f.ancestorNaIds=2774943&amp;sort=naIdSort%20asc" TargetMode="External"/><Relationship Id="rId1470" Type="http://schemas.openxmlformats.org/officeDocument/2006/relationships/hyperlink" Target="https://catalog.archives.gov/search?q=*:*&amp;f.ancestorNaIds=300022&amp;sort=naIdSort%20asc" TargetMode="External"/><Relationship Id="rId1568" Type="http://schemas.openxmlformats.org/officeDocument/2006/relationships/hyperlink" Target="https://catalog.archives.gov/search?q=*:*&amp;f.ancestorNaIds=518207&amp;sort=naIdSort%20asc" TargetMode="External"/><Relationship Id="rId1775" Type="http://schemas.openxmlformats.org/officeDocument/2006/relationships/hyperlink" Target="https://catalog.archives.gov/search?q=m1653&amp;f.level=fileunit&amp;f.recordGroupNoCollectionId=243&amp;f.oldScope=online" TargetMode="External"/><Relationship Id="rId2521" Type="http://schemas.openxmlformats.org/officeDocument/2006/relationships/hyperlink" Target="http://www.fold3.com/title_765/" TargetMode="External"/><Relationship Id="rId2619" Type="http://schemas.openxmlformats.org/officeDocument/2006/relationships/hyperlink" Target="https://search.ancestryinstitution.com/aird/search/db.aspx?dbid=2503" TargetMode="External"/><Relationship Id="rId2826" Type="http://schemas.openxmlformats.org/officeDocument/2006/relationships/hyperlink" Target="https://catalog.archives.gov/search?q=*:*&amp;f.ancestorNaIds=4576620&amp;sort=naIdSort%20asc" TargetMode="External"/><Relationship Id="rId67" Type="http://schemas.openxmlformats.org/officeDocument/2006/relationships/hyperlink" Target="https://catalog.archives.gov/search-within/2681589?availableOnline=true&amp;sort=naId%3Aasc" TargetMode="External"/><Relationship Id="rId700" Type="http://schemas.openxmlformats.org/officeDocument/2006/relationships/hyperlink" Target="https://search.ancestryinstitution.com/aird/search/db.aspx?dbid=9119" TargetMode="External"/><Relationship Id="rId1123" Type="http://schemas.openxmlformats.org/officeDocument/2006/relationships/hyperlink" Target="https://search.ancestryinstitution.com/aird/search/db.aspx?dbid=4282" TargetMode="External"/><Relationship Id="rId1330" Type="http://schemas.openxmlformats.org/officeDocument/2006/relationships/hyperlink" Target="https://catalog.archives.gov/search-within/654530?q=record.microformPublications.identifier%3AM559&amp;sort=title%3Aasc" TargetMode="External"/><Relationship Id="rId1428" Type="http://schemas.openxmlformats.org/officeDocument/2006/relationships/hyperlink" Target="https://familysearch.org/search/collection/2075263" TargetMode="External"/><Relationship Id="rId1635" Type="http://schemas.openxmlformats.org/officeDocument/2006/relationships/hyperlink" Target="https://search.ancestryinstitution.com/aird/search/db.aspx?dbid=7949" TargetMode="External"/><Relationship Id="rId1982" Type="http://schemas.openxmlformats.org/officeDocument/2006/relationships/hyperlink" Target="http://www.fold3.com/title_692/civil_war_soldiers_union_colored_troops/" TargetMode="External"/><Relationship Id="rId3088" Type="http://schemas.openxmlformats.org/officeDocument/2006/relationships/hyperlink" Target="https://www.familysearch.org/search/catalog/2842203" TargetMode="External"/><Relationship Id="rId1842" Type="http://schemas.openxmlformats.org/officeDocument/2006/relationships/hyperlink" Target="https://search.ancestryinstitution.com/aird/search/db.aspx?dbid=2402" TargetMode="External"/><Relationship Id="rId3295" Type="http://schemas.openxmlformats.org/officeDocument/2006/relationships/hyperlink" Target="https://aad.archives.gov/aad/series-description.jsp?s=3053&amp;cat=all&amp;bc=sl&amp;col=1183" TargetMode="External"/><Relationship Id="rId1702" Type="http://schemas.openxmlformats.org/officeDocument/2006/relationships/hyperlink" Target="https://www.fold3.com/title/463/ratified-amendments-to-the-us-constitution" TargetMode="External"/><Relationship Id="rId3155" Type="http://schemas.openxmlformats.org/officeDocument/2006/relationships/hyperlink" Target="https://catalog.archives.gov/search-within/7644738" TargetMode="External"/><Relationship Id="rId3362" Type="http://schemas.openxmlformats.org/officeDocument/2006/relationships/hyperlink" Target="https://catalog.archives.gov/search?q=*:*&amp;f.ancestorNaIds=6124377" TargetMode="External"/><Relationship Id="rId283" Type="http://schemas.openxmlformats.org/officeDocument/2006/relationships/hyperlink" Target="https://search.ancestryinstitution.com/aird/search/db.aspx?dbid=2505" TargetMode="External"/><Relationship Id="rId490" Type="http://schemas.openxmlformats.org/officeDocument/2006/relationships/hyperlink" Target="https://search.ancestryinstitution.com/aird/search/db.aspx?dbid=2260" TargetMode="External"/><Relationship Id="rId2171" Type="http://schemas.openxmlformats.org/officeDocument/2006/relationships/hyperlink" Target="https://search.ancestryinstitution.com/aird/search/db.aspx?dbid=3998" TargetMode="External"/><Relationship Id="rId3015" Type="http://schemas.openxmlformats.org/officeDocument/2006/relationships/hyperlink" Target="https://familysearch.org/search/collection/2137708" TargetMode="External"/><Relationship Id="rId3222" Type="http://schemas.openxmlformats.org/officeDocument/2006/relationships/hyperlink" Target="http://www.fold3.com/title_765/" TargetMode="External"/><Relationship Id="rId143" Type="http://schemas.openxmlformats.org/officeDocument/2006/relationships/hyperlink" Target="https://catalog.archives.gov/search-within/2843223?availableOnline=true&amp;sort=naId%3Aasc" TargetMode="External"/><Relationship Id="rId350" Type="http://schemas.openxmlformats.org/officeDocument/2006/relationships/hyperlink" Target="https://catalog.archives.gov/search?q=*:*&amp;f.ancestorNaIds=1274148&amp;sort=naIdSort%20asc" TargetMode="External"/><Relationship Id="rId588" Type="http://schemas.openxmlformats.org/officeDocument/2006/relationships/hyperlink" Target="https://search.ancestryinstitution.com/aird/search/db.aspx?dbid=9118" TargetMode="External"/><Relationship Id="rId795" Type="http://schemas.openxmlformats.org/officeDocument/2006/relationships/hyperlink" Target="https://search.ancestryinstitution.com/search/db.aspx?dbid=9111" TargetMode="External"/><Relationship Id="rId2031" Type="http://schemas.openxmlformats.org/officeDocument/2006/relationships/hyperlink" Target="http://www.footnote.com/title_861/" TargetMode="External"/><Relationship Id="rId2269" Type="http://schemas.openxmlformats.org/officeDocument/2006/relationships/hyperlink" Target="https://catalog.archives.gov/search?q=*:*&amp;f.ancestorNaIds=788664&amp;sort=naIdSort%20asc" TargetMode="External"/><Relationship Id="rId2476" Type="http://schemas.openxmlformats.org/officeDocument/2006/relationships/hyperlink" Target="https://search.ancestryinstitution.com/aird/search/db.aspx?dbid=2502" TargetMode="External"/><Relationship Id="rId2683" Type="http://schemas.openxmlformats.org/officeDocument/2006/relationships/hyperlink" Target="https://search.ancestryinstitution.com/aird/search/db.aspx?dbid=2500" TargetMode="External"/><Relationship Id="rId2890" Type="http://schemas.openxmlformats.org/officeDocument/2006/relationships/hyperlink" Target="https://catalog.archives.gov/search?q=*:*&amp;f.ancestorNaIds=4699301&amp;sort=naIdSort%20asc" TargetMode="External"/><Relationship Id="rId9" Type="http://schemas.openxmlformats.org/officeDocument/2006/relationships/hyperlink" Target="https://catalog.archives.gov/search-within/2945942?availableOnline=true&amp;sort=naId%3Aasc" TargetMode="External"/><Relationship Id="rId210" Type="http://schemas.openxmlformats.org/officeDocument/2006/relationships/hyperlink" Target="https://catalog.archives.gov/search?q=m1927&amp;recordGroupNumber=260" TargetMode="External"/><Relationship Id="rId448" Type="http://schemas.openxmlformats.org/officeDocument/2006/relationships/hyperlink" Target="https://www.familysearch.org/search/collection/2426314" TargetMode="External"/><Relationship Id="rId655" Type="http://schemas.openxmlformats.org/officeDocument/2006/relationships/hyperlink" Target="https://search.ancestryinstitution.com/aird/search/db.aspx?dbid=9220" TargetMode="External"/><Relationship Id="rId862" Type="http://schemas.openxmlformats.org/officeDocument/2006/relationships/hyperlink" Target="https://catalog.archives.gov/search?q=A3900&amp;f.ancestorNaIds=3335528&amp;sort=naIdSort%20asc" TargetMode="External"/><Relationship Id="rId1078" Type="http://schemas.openxmlformats.org/officeDocument/2006/relationships/hyperlink" Target="https://ancestry.com/" TargetMode="External"/><Relationship Id="rId1285" Type="http://schemas.openxmlformats.org/officeDocument/2006/relationships/hyperlink" Target="https://search.ancestry.com/search/db.aspx?dbid=2171%09" TargetMode="External"/><Relationship Id="rId1492" Type="http://schemas.openxmlformats.org/officeDocument/2006/relationships/hyperlink" Target="https://familysearch.org/search/collection/1832324" TargetMode="External"/><Relationship Id="rId2129" Type="http://schemas.openxmlformats.org/officeDocument/2006/relationships/hyperlink" Target="https://search.ancestryinstitution.com/aird/search/db.aspx?dbid=2509" TargetMode="External"/><Relationship Id="rId2336" Type="http://schemas.openxmlformats.org/officeDocument/2006/relationships/hyperlink" Target="https://catalog.archives.gov/search?q=*:*&amp;f.ancestorNaIds=1159403&amp;sort=naIdSort%20asc" TargetMode="External"/><Relationship Id="rId2543" Type="http://schemas.openxmlformats.org/officeDocument/2006/relationships/hyperlink" Target="https://search.ancestryinstitution.com/aird/search/db.aspx?dbid=2503" TargetMode="External"/><Relationship Id="rId2750" Type="http://schemas.openxmlformats.org/officeDocument/2006/relationships/hyperlink" Target="https://catalog.archives.gov/search?q=*:*&amp;f.ancestorNaIds=4499466&amp;sort=titleSort%20asc" TargetMode="External"/><Relationship Id="rId2988" Type="http://schemas.openxmlformats.org/officeDocument/2006/relationships/hyperlink" Target="https://catalog.archives.gov/search?q=*:*&amp;f.ancestorNaIds=5720621&amp;sort=naIdSort%20asc" TargetMode="External"/><Relationship Id="rId308" Type="http://schemas.openxmlformats.org/officeDocument/2006/relationships/hyperlink" Target="https://catalog.archives.gov/search?q=*:*&amp;f.ancestorNaIds=23904748" TargetMode="External"/><Relationship Id="rId515" Type="http://schemas.openxmlformats.org/officeDocument/2006/relationships/hyperlink" Target="https://familysearch.org/search/collection/2072140" TargetMode="External"/><Relationship Id="rId722" Type="http://schemas.openxmlformats.org/officeDocument/2006/relationships/hyperlink" Target="https://catalog.archives.gov/search?q=A3658&amp;f.ancestorNaIds=2848463&amp;sort=naIdSort%20asc" TargetMode="External"/><Relationship Id="rId1145" Type="http://schemas.openxmlformats.org/officeDocument/2006/relationships/hyperlink" Target="https://catalog.archives.gov/search?q=M266&amp;f.ancestorNaIds=586957" TargetMode="External"/><Relationship Id="rId1352" Type="http://schemas.openxmlformats.org/officeDocument/2006/relationships/hyperlink" Target="https://search.ancestryinstitution.com/aird/search/db.aspx?dbid=4281" TargetMode="External"/><Relationship Id="rId1797" Type="http://schemas.openxmlformats.org/officeDocument/2006/relationships/hyperlink" Target="https://search.ancestryinstitution.com/aird/search/db.aspx?dbid=1163" TargetMode="External"/><Relationship Id="rId2403" Type="http://schemas.openxmlformats.org/officeDocument/2006/relationships/hyperlink" Target="https://search.ancestryinstitution.com/aird/search/db.aspx?dbid=2500" TargetMode="External"/><Relationship Id="rId2848" Type="http://schemas.openxmlformats.org/officeDocument/2006/relationships/hyperlink" Target="https://catalog.archives.gov/search?q=*:*&amp;f.ancestorNaIds=4684513&amp;sort=naIdSort%20asc" TargetMode="External"/><Relationship Id="rId89" Type="http://schemas.openxmlformats.org/officeDocument/2006/relationships/hyperlink" Target="https://catalog.archives.gov/search-within/2843007?availableOnline=true&amp;sort=naId%3Aasc" TargetMode="External"/><Relationship Id="rId1005" Type="http://schemas.openxmlformats.org/officeDocument/2006/relationships/hyperlink" Target="https://catalog.archives.gov/search?q=A4083&amp;f.ancestorNaIds=3000059&amp;sort=naIdSort%20asc" TargetMode="External"/><Relationship Id="rId1212" Type="http://schemas.openxmlformats.org/officeDocument/2006/relationships/hyperlink" Target="https://familysearch.org/search/collection/1834304" TargetMode="External"/><Relationship Id="rId1657" Type="http://schemas.openxmlformats.org/officeDocument/2006/relationships/hyperlink" Target="https://search.ancestryinstitution.com/aird/search/db.aspx?dbid=7949" TargetMode="External"/><Relationship Id="rId1864" Type="http://schemas.openxmlformats.org/officeDocument/2006/relationships/hyperlink" Target="https://catalog.archives.gov/search-within/300398?page=2&amp;q=record.microformPublications.identifier%3AM1816&amp;sort=title%3Aasc" TargetMode="External"/><Relationship Id="rId2610" Type="http://schemas.openxmlformats.org/officeDocument/2006/relationships/hyperlink" Target="https://www.fold3.com/title_816/wwii_draft_registration_cards" TargetMode="External"/><Relationship Id="rId2708" Type="http://schemas.openxmlformats.org/officeDocument/2006/relationships/hyperlink" Target="https://catalog.archives.gov/search?q=*:*&amp;f.ancestorNaIds=4477673&amp;sort=naIdSort%20asc" TargetMode="External"/><Relationship Id="rId2915" Type="http://schemas.openxmlformats.org/officeDocument/2006/relationships/hyperlink" Target="https://catalog.archives.gov/search?q=*:*&amp;f.ancestorNaIds=4719597&amp;sort=naIdSort%20asc" TargetMode="External"/><Relationship Id="rId1517" Type="http://schemas.openxmlformats.org/officeDocument/2006/relationships/hyperlink" Target="https://catalog.archives.gov/search?q=*:*&amp;f.ancestorNaIds=654491&amp;sort=naIdSort%20asc" TargetMode="External"/><Relationship Id="rId1724" Type="http://schemas.openxmlformats.org/officeDocument/2006/relationships/hyperlink" Target="https://search.ancestryinstitution.com/aird/search/db.aspx?dbid=1193" TargetMode="External"/><Relationship Id="rId3177" Type="http://schemas.openxmlformats.org/officeDocument/2006/relationships/hyperlink" Target="https://search.ancestryinstitution.com/aird/search/db.aspx?dbid=2238" TargetMode="External"/><Relationship Id="rId16" Type="http://schemas.openxmlformats.org/officeDocument/2006/relationships/hyperlink" Target="https://search.ancestryinstitution.com/aird/search/db.aspx?dbid=2996" TargetMode="External"/><Relationship Id="rId1931" Type="http://schemas.openxmlformats.org/officeDocument/2006/relationships/hyperlink" Target="https://www.fold3.com/title/82/hesse-crown-jewels-court-martial" TargetMode="External"/><Relationship Id="rId3037" Type="http://schemas.openxmlformats.org/officeDocument/2006/relationships/hyperlink" Target="https://catalog.archives.gov/search-within/6037971" TargetMode="External"/><Relationship Id="rId3384" Type="http://schemas.openxmlformats.org/officeDocument/2006/relationships/hyperlink" Target="https://search.ancestryinstitution.com/aird/search/db.aspx?dbid=8758" TargetMode="External"/><Relationship Id="rId2193" Type="http://schemas.openxmlformats.org/officeDocument/2006/relationships/hyperlink" Target="https://search.ancestryinstitution.com/aird/search/db.aspx?dbid=1002" TargetMode="External"/><Relationship Id="rId2498" Type="http://schemas.openxmlformats.org/officeDocument/2006/relationships/hyperlink" Target="https://search.ancestryinstitution.com/aird/search/db.aspx?dbid=2503" TargetMode="External"/><Relationship Id="rId3244" Type="http://schemas.openxmlformats.org/officeDocument/2006/relationships/hyperlink" Target="https://catalog.archives.gov/search?q=*:*&amp;f.ancestorNaIds=83009111&amp;sort=naIdSort%20asc" TargetMode="External"/><Relationship Id="rId165" Type="http://schemas.openxmlformats.org/officeDocument/2006/relationships/hyperlink" Target="https://search.ancestryinstitution.com/aird/search/db.aspx?dbid=9220" TargetMode="External"/><Relationship Id="rId372" Type="http://schemas.openxmlformats.org/officeDocument/2006/relationships/hyperlink" Target="https://search.ancestryinstitution.com/search/db.aspx?dbid=1082" TargetMode="External"/><Relationship Id="rId677" Type="http://schemas.openxmlformats.org/officeDocument/2006/relationships/hyperlink" Target="https://catalog.archives.gov/search?q=*:*&amp;f.ancestorNaIds=2668776&amp;sort=naIdSort%20asc" TargetMode="External"/><Relationship Id="rId2053" Type="http://schemas.openxmlformats.org/officeDocument/2006/relationships/hyperlink" Target="http://www.footnote.com/title_495/" TargetMode="External"/><Relationship Id="rId2260" Type="http://schemas.openxmlformats.org/officeDocument/2006/relationships/hyperlink" Target="https://search.ancestryinstitution.com/aird/search/db.aspx?dbid=2508" TargetMode="External"/><Relationship Id="rId2358" Type="http://schemas.openxmlformats.org/officeDocument/2006/relationships/hyperlink" Target="https://search.ancestryinstitution.com/search/db.aspx?dbid=2995" TargetMode="External"/><Relationship Id="rId3104" Type="http://schemas.openxmlformats.org/officeDocument/2006/relationships/hyperlink" Target="https://search.ancestryinstitution.com/aird/search/db.aspx?dbid=60593" TargetMode="External"/><Relationship Id="rId3311" Type="http://schemas.openxmlformats.org/officeDocument/2006/relationships/hyperlink" Target="https://familysearch.org/search/collection/2126719" TargetMode="External"/><Relationship Id="rId232" Type="http://schemas.openxmlformats.org/officeDocument/2006/relationships/hyperlink" Target="http://www.footnote.com/title_869/" TargetMode="External"/><Relationship Id="rId884" Type="http://schemas.openxmlformats.org/officeDocument/2006/relationships/hyperlink" Target="https://search.ancestryinstitution.com/aird/search/db.aspx?dbid=9122" TargetMode="External"/><Relationship Id="rId2120" Type="http://schemas.openxmlformats.org/officeDocument/2006/relationships/hyperlink" Target="https://familysearch.org/search/collection/2170637" TargetMode="External"/><Relationship Id="rId2565" Type="http://schemas.openxmlformats.org/officeDocument/2006/relationships/hyperlink" Target="https://search.ancestryinstitution.com/aird/search/db.aspx?dbid=2509" TargetMode="External"/><Relationship Id="rId2772" Type="http://schemas.openxmlformats.org/officeDocument/2006/relationships/hyperlink" Target="https://search.ancestryinstitution.com/aird/search/db.aspx?dbid=2509" TargetMode="External"/><Relationship Id="rId537" Type="http://schemas.openxmlformats.org/officeDocument/2006/relationships/hyperlink" Target="https://search.ancestryinstitution.com/search/db.aspx?dbid=2249" TargetMode="External"/><Relationship Id="rId744" Type="http://schemas.openxmlformats.org/officeDocument/2006/relationships/hyperlink" Target="https://search.ancestryinstitution.com/aird/search/db.aspx?dbid=1075" TargetMode="External"/><Relationship Id="rId951" Type="http://schemas.openxmlformats.org/officeDocument/2006/relationships/hyperlink" Target="https://catalog.archives.gov/search?q=A4007&amp;f.ancestorNaIds=3179982&amp;sort=naIdSort%20asc" TargetMode="External"/><Relationship Id="rId1167" Type="http://schemas.openxmlformats.org/officeDocument/2006/relationships/hyperlink" Target="https://search.ancestry.com/search/db.aspx?dbid=2344" TargetMode="External"/><Relationship Id="rId1374" Type="http://schemas.openxmlformats.org/officeDocument/2006/relationships/hyperlink" Target="https://catalog.archives.gov/search?q=M666&amp;f.ancestorNaIds=300368" TargetMode="External"/><Relationship Id="rId1581" Type="http://schemas.openxmlformats.org/officeDocument/2006/relationships/hyperlink" Target="https://catalog.archives.gov/search?q=*:*&amp;f.ancestorNaIds=251747&amp;sort=naIdSort%20asc&amp;f.oldScope=online" TargetMode="External"/><Relationship Id="rId1679" Type="http://schemas.openxmlformats.org/officeDocument/2006/relationships/hyperlink" Target="https://familysearch.org/search/collection/1916040" TargetMode="External"/><Relationship Id="rId2218" Type="http://schemas.openxmlformats.org/officeDocument/2006/relationships/hyperlink" Target="https://catalog.archives.gov/search?q=*:*&amp;f.ancestorNaIds=648603&amp;sort=titleSort%20asc" TargetMode="External"/><Relationship Id="rId2425" Type="http://schemas.openxmlformats.org/officeDocument/2006/relationships/hyperlink" Target="https://search.ancestryinstitution.com/aird/search/db.aspx?dbid=1850" TargetMode="External"/><Relationship Id="rId2632" Type="http://schemas.openxmlformats.org/officeDocument/2006/relationships/hyperlink" Target="https://catalog.archives.gov/search?q=*:*&amp;f.ancestorNaIds=3281761&amp;sort=naIdSort%20asc" TargetMode="External"/><Relationship Id="rId80" Type="http://schemas.openxmlformats.org/officeDocument/2006/relationships/hyperlink" Target="https://search.ancestryinstitution.com/aird/search/db.aspx?dbid=9127" TargetMode="External"/><Relationship Id="rId604" Type="http://schemas.openxmlformats.org/officeDocument/2006/relationships/hyperlink" Target="https://catalog.archives.gov/search?q=A3525&amp;f.ancestorNaIds=2990439&amp;sort=naIdSort%20asc" TargetMode="External"/><Relationship Id="rId811" Type="http://schemas.openxmlformats.org/officeDocument/2006/relationships/hyperlink" Target="https://catalog.archives.gov/search?q=*:*&amp;f.ancestorNaIds=2581573&amp;sort=naIdSort%20asc" TargetMode="External"/><Relationship Id="rId1027" Type="http://schemas.openxmlformats.org/officeDocument/2006/relationships/hyperlink" Target="https://catalog.archives.gov/search?q=A4117&amp;f.ancestorNaIds=2990217&amp;sort=naIdSort%20asc" TargetMode="External"/><Relationship Id="rId1234" Type="http://schemas.openxmlformats.org/officeDocument/2006/relationships/hyperlink" Target="https://search.ancestryinstitution.com/aird/search/db.aspx?dbid=2344" TargetMode="External"/><Relationship Id="rId1441" Type="http://schemas.openxmlformats.org/officeDocument/2006/relationships/hyperlink" Target="https://search.ancestryinstitution.com/aird/search/db.aspx?dbid=1264" TargetMode="External"/><Relationship Id="rId1886" Type="http://schemas.openxmlformats.org/officeDocument/2006/relationships/hyperlink" Target="http://www.footnote.com/title_762/" TargetMode="External"/><Relationship Id="rId2937" Type="http://schemas.openxmlformats.org/officeDocument/2006/relationships/hyperlink" Target="https://catalog.archives.gov/search?q=*:*&amp;f.ancestorNaIds=5605027" TargetMode="External"/><Relationship Id="rId909" Type="http://schemas.openxmlformats.org/officeDocument/2006/relationships/hyperlink" Target="https://catalog.archives.gov/search?q=A3958&amp;f.ancestorNaIds=3054074&amp;sort=naIdSort%20asc" TargetMode="External"/><Relationship Id="rId1301" Type="http://schemas.openxmlformats.org/officeDocument/2006/relationships/hyperlink" Target="http://www.fold3.com/title_798/" TargetMode="External"/><Relationship Id="rId1539" Type="http://schemas.openxmlformats.org/officeDocument/2006/relationships/hyperlink" Target="https://search.ancestryinstitution.com/aird/search/db.aspx?dbid=2344" TargetMode="External"/><Relationship Id="rId1746" Type="http://schemas.openxmlformats.org/officeDocument/2006/relationships/hyperlink" Target="https://www.fold3.com/title/108/naturalizations-ca-los-angeles" TargetMode="External"/><Relationship Id="rId1953" Type="http://schemas.openxmlformats.org/officeDocument/2006/relationships/hyperlink" Target="http://www.fold3.com/title_755/ardelia_hall_collection_omgus_records/" TargetMode="External"/><Relationship Id="rId3199" Type="http://schemas.openxmlformats.org/officeDocument/2006/relationships/hyperlink" Target="https://familysearch.org/search/collection/2120721" TargetMode="External"/><Relationship Id="rId38" Type="http://schemas.openxmlformats.org/officeDocument/2006/relationships/hyperlink" Target="https://catalog.archives.gov/search-within/3335538?availableOnline=true&amp;sort=naId%3Aasc" TargetMode="External"/><Relationship Id="rId1606" Type="http://schemas.openxmlformats.org/officeDocument/2006/relationships/hyperlink" Target="https://search.ancestryinstitution.com/search/db.aspx?dbid=1629" TargetMode="External"/><Relationship Id="rId1813" Type="http://schemas.openxmlformats.org/officeDocument/2006/relationships/hyperlink" Target="https://catalog.archives.gov/search?q=*:*&amp;f.ancestorNaIds=4529425&amp;sort=naIdSort%20asc" TargetMode="External"/><Relationship Id="rId3059" Type="http://schemas.openxmlformats.org/officeDocument/2006/relationships/hyperlink" Target="https://catalog.archives.gov/search-within/6210139" TargetMode="External"/><Relationship Id="rId3266" Type="http://schemas.openxmlformats.org/officeDocument/2006/relationships/hyperlink" Target="https://fraser.stlouisfed.org/archival-collection/records-women-s-bureau-5963" TargetMode="External"/><Relationship Id="rId187" Type="http://schemas.openxmlformats.org/officeDocument/2006/relationships/hyperlink" Target="https://familysearch.org/search/collection/2173933" TargetMode="External"/><Relationship Id="rId394" Type="http://schemas.openxmlformats.org/officeDocument/2006/relationships/hyperlink" Target="https://search.ancestryinstitution.com/search/db.aspx?dbid=8842" TargetMode="External"/><Relationship Id="rId2075" Type="http://schemas.openxmlformats.org/officeDocument/2006/relationships/hyperlink" Target="https://search.ancestryinstitution.com/aird/search/db.aspx?dbid=2509" TargetMode="External"/><Relationship Id="rId2282" Type="http://schemas.openxmlformats.org/officeDocument/2006/relationships/hyperlink" Target="https://familysearch.org/search/collection/2187007" TargetMode="External"/><Relationship Id="rId3126" Type="http://schemas.openxmlformats.org/officeDocument/2006/relationships/hyperlink" Target="https://catalog.archives.gov/search?q=*:*&amp;f.ancestorNaIds=7564756&amp;sort=naIdSort%20asc" TargetMode="External"/><Relationship Id="rId254" Type="http://schemas.openxmlformats.org/officeDocument/2006/relationships/hyperlink" Target="https://catalog.archives.gov/search?q=*:*&amp;f.ancestorNaIds=788681" TargetMode="External"/><Relationship Id="rId699" Type="http://schemas.openxmlformats.org/officeDocument/2006/relationships/hyperlink" Target="https://search.ancestryinstitution.com/aird/search/db.aspx?dbid=8842" TargetMode="External"/><Relationship Id="rId1091" Type="http://schemas.openxmlformats.org/officeDocument/2006/relationships/hyperlink" Target="https://search.ancestryinstitution.com/aird/search/db.aspx?dbid=1134" TargetMode="External"/><Relationship Id="rId2587" Type="http://schemas.openxmlformats.org/officeDocument/2006/relationships/hyperlink" Target="https://search.ancestryinstitution.com/aird/search/db.aspx?dbid=2999" TargetMode="External"/><Relationship Id="rId2794" Type="http://schemas.openxmlformats.org/officeDocument/2006/relationships/hyperlink" Target="https://search.ancestryinstitution.com/aird/search/db.aspx?dbid=2509" TargetMode="External"/><Relationship Id="rId3333" Type="http://schemas.openxmlformats.org/officeDocument/2006/relationships/hyperlink" Target="https://www.fold3.com/title/644/census-us-federal-1910" TargetMode="External"/><Relationship Id="rId114" Type="http://schemas.openxmlformats.org/officeDocument/2006/relationships/hyperlink" Target="https://search.ancestryinstitution.com/aird/search/db.aspx?dbid=9033" TargetMode="External"/><Relationship Id="rId461" Type="http://schemas.openxmlformats.org/officeDocument/2006/relationships/hyperlink" Target="https://catalog.archives.gov/search?q=*:*&amp;f.ancestorNaIds=1938393&amp;sort=naIdSort%20asc" TargetMode="External"/><Relationship Id="rId559" Type="http://schemas.openxmlformats.org/officeDocument/2006/relationships/hyperlink" Target="https://www.familysearch.org/search/collection/2443340" TargetMode="External"/><Relationship Id="rId766" Type="http://schemas.openxmlformats.org/officeDocument/2006/relationships/hyperlink" Target="https://catalog.archives.gov/search?q=A3722&amp;f.ancestorNaIds=2825528&amp;sort=naIdSort%20asc" TargetMode="External"/><Relationship Id="rId1189" Type="http://schemas.openxmlformats.org/officeDocument/2006/relationships/hyperlink" Target="https://familysearch.org/search/collection/1932372" TargetMode="External"/><Relationship Id="rId1396" Type="http://schemas.openxmlformats.org/officeDocument/2006/relationships/hyperlink" Target="https://familysearch.org/search/collection/2432992" TargetMode="External"/><Relationship Id="rId2142" Type="http://schemas.openxmlformats.org/officeDocument/2006/relationships/hyperlink" Target="http://www.footnote.com/title_926/" TargetMode="External"/><Relationship Id="rId2447" Type="http://schemas.openxmlformats.org/officeDocument/2006/relationships/hyperlink" Target="https://catalog.archives.gov/search?q=*:*&amp;f.ancestorNaIds=2173189&amp;sort=naIdSort%20asc" TargetMode="External"/><Relationship Id="rId321" Type="http://schemas.openxmlformats.org/officeDocument/2006/relationships/hyperlink" Target="https://catalog.archives.gov/search?q=*:*&amp;f.ancestorNaIds=24330342" TargetMode="External"/><Relationship Id="rId419" Type="http://schemas.openxmlformats.org/officeDocument/2006/relationships/hyperlink" Target="https://familysearch.org/search/collection/2141043" TargetMode="External"/><Relationship Id="rId626" Type="http://schemas.openxmlformats.org/officeDocument/2006/relationships/hyperlink" Target="https://search.ancestryinstitution.com/aird/search/db.aspx?dbid=9220" TargetMode="External"/><Relationship Id="rId973" Type="http://schemas.openxmlformats.org/officeDocument/2006/relationships/hyperlink" Target="https://catalog.archives.gov/search?q=A4044&amp;f.ancestorNaIds=3249871&amp;sort=naIdSort%20asc" TargetMode="External"/><Relationship Id="rId1049" Type="http://schemas.openxmlformats.org/officeDocument/2006/relationships/hyperlink" Target="https://catalog.archives.gov/search?q=*:*&amp;f.ancestorNaIds=2574390&amp;sort=naIdSort%20asc" TargetMode="External"/><Relationship Id="rId1256" Type="http://schemas.openxmlformats.org/officeDocument/2006/relationships/hyperlink" Target="http://www.fold3.com/title_689/civil_war_soldiers_union_nc/" TargetMode="External"/><Relationship Id="rId2002" Type="http://schemas.openxmlformats.org/officeDocument/2006/relationships/hyperlink" Target="https://catalog.archives.gov/search?q=*:*&amp;f.ancestorNaIds=122157682&amp;sort=naIdSort%20asc" TargetMode="External"/><Relationship Id="rId2307" Type="http://schemas.openxmlformats.org/officeDocument/2006/relationships/hyperlink" Target="https://familysearch.org/search/collection/2173973" TargetMode="External"/><Relationship Id="rId2654" Type="http://schemas.openxmlformats.org/officeDocument/2006/relationships/hyperlink" Target="https://www.familysearch.org/search/catalog/2299685?availability=Family%20History%20Library" TargetMode="External"/><Relationship Id="rId2861" Type="http://schemas.openxmlformats.org/officeDocument/2006/relationships/hyperlink" Target="https://search.ancestryinstitution.com/aird/search/db.aspx?dbid=2507" TargetMode="External"/><Relationship Id="rId2959" Type="http://schemas.openxmlformats.org/officeDocument/2006/relationships/hyperlink" Target="https://www.familysearch.org/wiki/en/Rhode_Island_Taxation" TargetMode="External"/><Relationship Id="rId833" Type="http://schemas.openxmlformats.org/officeDocument/2006/relationships/hyperlink" Target="https://search.ancestryinstitution.com/aird/search/db.aspx?dbid=60882" TargetMode="External"/><Relationship Id="rId1116" Type="http://schemas.openxmlformats.org/officeDocument/2006/relationships/hyperlink" Target="http://www.footnote.com/title_891/" TargetMode="External"/><Relationship Id="rId1463" Type="http://schemas.openxmlformats.org/officeDocument/2006/relationships/hyperlink" Target="https://familysearch.org/search/collection/2075263" TargetMode="External"/><Relationship Id="rId1670" Type="http://schemas.openxmlformats.org/officeDocument/2006/relationships/hyperlink" Target="https://search.ancestryinstitution.com/aird/search/db.aspx?dbid=1075" TargetMode="External"/><Relationship Id="rId1768" Type="http://schemas.openxmlformats.org/officeDocument/2006/relationships/hyperlink" Target="https://familysearch.org/search/collection/1877093" TargetMode="External"/><Relationship Id="rId2514" Type="http://schemas.openxmlformats.org/officeDocument/2006/relationships/hyperlink" Target="https://search.ancestryinstitution.com/aird/search/db.aspx?dbid=2503" TargetMode="External"/><Relationship Id="rId2721" Type="http://schemas.openxmlformats.org/officeDocument/2006/relationships/hyperlink" Target="https://familysearch.org/search/collection/2137708" TargetMode="External"/><Relationship Id="rId2819" Type="http://schemas.openxmlformats.org/officeDocument/2006/relationships/hyperlink" Target="https://catalog.archives.gov/search-within/4529372" TargetMode="External"/><Relationship Id="rId900" Type="http://schemas.openxmlformats.org/officeDocument/2006/relationships/hyperlink" Target="https://catalog.archives.gov/search?q=A3949&amp;f.ancestorNaIds=2788697&amp;sort=naIdSort%20asc" TargetMode="External"/><Relationship Id="rId1323" Type="http://schemas.openxmlformats.org/officeDocument/2006/relationships/hyperlink" Target="http://www.footnote.com/title_790/" TargetMode="External"/><Relationship Id="rId1530" Type="http://schemas.openxmlformats.org/officeDocument/2006/relationships/hyperlink" Target="https://www.fold3.com/title/80/gorrells-history-aef-air-service/description" TargetMode="External"/><Relationship Id="rId1628" Type="http://schemas.openxmlformats.org/officeDocument/2006/relationships/hyperlink" Target="https://catalog.archives.gov/search?q=*:*&amp;f.parentNaId=305256&amp;f.level=fileUnit&amp;sort=naIdSort%20asc" TargetMode="External"/><Relationship Id="rId1975" Type="http://schemas.openxmlformats.org/officeDocument/2006/relationships/hyperlink" Target="https://www.fold3.com/title/115/naturalizations-ny-southern" TargetMode="External"/><Relationship Id="rId3190" Type="http://schemas.openxmlformats.org/officeDocument/2006/relationships/hyperlink" Target="https://catalog.archives.gov/search?q=*:*&amp;f.ancestorNaIds=7820365&amp;sort=naIdSort%20asc" TargetMode="External"/><Relationship Id="rId1835" Type="http://schemas.openxmlformats.org/officeDocument/2006/relationships/hyperlink" Target="https://search.ancestryinstitution.com/aird/search/db.aspx?dbid=1264" TargetMode="External"/><Relationship Id="rId3050" Type="http://schemas.openxmlformats.org/officeDocument/2006/relationships/hyperlink" Target="https://catalog.archives.gov/search-within/6161604" TargetMode="External"/><Relationship Id="rId3288" Type="http://schemas.openxmlformats.org/officeDocument/2006/relationships/hyperlink" Target="https://aad.archives.gov/aad/fielded-search.jsp?dt=180&amp;tf=F&amp;cat=SB302&amp;bc=sb,sl" TargetMode="External"/><Relationship Id="rId1902" Type="http://schemas.openxmlformats.org/officeDocument/2006/relationships/hyperlink" Target="https://catalog.archives.gov/search?q=*:*&amp;f.ancestorNaIds=1184633&amp;sort=naIdSort%20asc" TargetMode="External"/><Relationship Id="rId2097" Type="http://schemas.openxmlformats.org/officeDocument/2006/relationships/hyperlink" Target="https://drive.google.com/file/d/1V8jxkPIYmgrPbAJkXFIA3mcUaQuJDIuR/view?usp=drive_link" TargetMode="External"/><Relationship Id="rId3148" Type="http://schemas.openxmlformats.org/officeDocument/2006/relationships/hyperlink" Target="https://search.ancestryinstitution.com/aird/search/db.aspx?dbid=2238" TargetMode="External"/><Relationship Id="rId3355" Type="http://schemas.openxmlformats.org/officeDocument/2006/relationships/hyperlink" Target="https://search.ancestryinstitution.com/aird/search/db.aspx?dbid=8842" TargetMode="External"/><Relationship Id="rId276" Type="http://schemas.openxmlformats.org/officeDocument/2006/relationships/hyperlink" Target="https://catalog.archives.gov/search?q=*:*&amp;f.ancestorNaIds=2292809" TargetMode="External"/><Relationship Id="rId483" Type="http://schemas.openxmlformats.org/officeDocument/2006/relationships/hyperlink" Target="https://catalog.archives.gov/search?q=*:*&amp;f.ancestorNaIds=4492484&amp;sort=naIdSort%20asc" TargetMode="External"/><Relationship Id="rId690" Type="http://schemas.openxmlformats.org/officeDocument/2006/relationships/hyperlink" Target="https://catalog.archives.gov/search?q=*:*&amp;f.ancestorNaIds=147968170&amp;sort=naIdSort%20asc" TargetMode="External"/><Relationship Id="rId2164" Type="http://schemas.openxmlformats.org/officeDocument/2006/relationships/hyperlink" Target="https://search.ancestryinstitution.com/aird/search/db.aspx?dbid=60614" TargetMode="External"/><Relationship Id="rId2371" Type="http://schemas.openxmlformats.org/officeDocument/2006/relationships/hyperlink" Target="https://search.ancestryinstitution.com/aird/search/db.aspx?dbid=2512" TargetMode="External"/><Relationship Id="rId3008" Type="http://schemas.openxmlformats.org/officeDocument/2006/relationships/hyperlink" Target="https://catalog.archives.gov/search?q=*:*&amp;f.ancestorNaIds=5833895&amp;sort=naIdSort%20asc" TargetMode="External"/><Relationship Id="rId3215" Type="http://schemas.openxmlformats.org/officeDocument/2006/relationships/hyperlink" Target="https://www.familysearch.org/search/collection/2075263" TargetMode="External"/><Relationship Id="rId136" Type="http://schemas.openxmlformats.org/officeDocument/2006/relationships/hyperlink" Target="https://search.ancestryinstitution.com/aird/search/db.aspx?dbid=9220" TargetMode="External"/><Relationship Id="rId343" Type="http://schemas.openxmlformats.org/officeDocument/2006/relationships/hyperlink" Target="https://catalog.archives.gov/search?q=*:*&amp;f.ancestorNaIds=95115973" TargetMode="External"/><Relationship Id="rId550" Type="http://schemas.openxmlformats.org/officeDocument/2006/relationships/hyperlink" Target="https://search.ancestryinstitution.com/aird/search/db.aspx?dbid=2139" TargetMode="External"/><Relationship Id="rId788" Type="http://schemas.openxmlformats.org/officeDocument/2006/relationships/hyperlink" Target="https://search.ancestryinstitution.com/aird/search/db.aspx?dbid=9124" TargetMode="External"/><Relationship Id="rId995" Type="http://schemas.openxmlformats.org/officeDocument/2006/relationships/hyperlink" Target="https://catalog.archives.gov/search?q=A4076&amp;f.ancestorNaIds=3298210&amp;sort=naIdSort%20asc" TargetMode="External"/><Relationship Id="rId1180" Type="http://schemas.openxmlformats.org/officeDocument/2006/relationships/hyperlink" Target="https://familysearch.org/search/collection/1932365" TargetMode="External"/><Relationship Id="rId2024" Type="http://schemas.openxmlformats.org/officeDocument/2006/relationships/hyperlink" Target="http://familysearch.org/" TargetMode="External"/><Relationship Id="rId2231" Type="http://schemas.openxmlformats.org/officeDocument/2006/relationships/hyperlink" Target="https://catalog.archives.gov/search?q=*:*&amp;f.ancestorNaIds=650854&amp;sort=naIdSort%20asc&amp;f.level=fileunit" TargetMode="External"/><Relationship Id="rId2469" Type="http://schemas.openxmlformats.org/officeDocument/2006/relationships/hyperlink" Target="https://search.ancestryinstitution.com/aird/search/db.aspx?dbid=2500" TargetMode="External"/><Relationship Id="rId2676" Type="http://schemas.openxmlformats.org/officeDocument/2006/relationships/hyperlink" Target="https://search.ancestryinstitution.com/aird/search/db.aspx?dbid=2509" TargetMode="External"/><Relationship Id="rId2883" Type="http://schemas.openxmlformats.org/officeDocument/2006/relationships/hyperlink" Target="http://www.fold3.com/title_750/wwii_war_diaries/" TargetMode="External"/><Relationship Id="rId203" Type="http://schemas.openxmlformats.org/officeDocument/2006/relationships/hyperlink" Target="https://catalog.archives.gov/search?q=M1476&amp;ancestorNaId=4482916" TargetMode="External"/><Relationship Id="rId648" Type="http://schemas.openxmlformats.org/officeDocument/2006/relationships/hyperlink" Target="https://catalog.archives.gov/search?q=*:*&amp;f.ancestorNaIds=2363876" TargetMode="External"/><Relationship Id="rId855" Type="http://schemas.openxmlformats.org/officeDocument/2006/relationships/hyperlink" Target="https://search.ancestryinstitution.com/aird/search/db.aspx?dbid=9220" TargetMode="External"/><Relationship Id="rId1040" Type="http://schemas.openxmlformats.org/officeDocument/2006/relationships/hyperlink" Target="https://catalog.archives.gov/search?q=A4143&amp;f.ancestorNaIds=3432817&amp;sort=naIdSort%20asc" TargetMode="External"/><Relationship Id="rId1278" Type="http://schemas.openxmlformats.org/officeDocument/2006/relationships/hyperlink" Target="https://catalog.archives.gov/search-within/300398?page=2&amp;q=record.microformPublications.identifier%3AM427&amp;sort=title%3Aasc" TargetMode="External"/><Relationship Id="rId1485" Type="http://schemas.openxmlformats.org/officeDocument/2006/relationships/hyperlink" Target="https://search.ancestryinstitution.com/aird/search/db.aspx?dbid=2401" TargetMode="External"/><Relationship Id="rId1692" Type="http://schemas.openxmlformats.org/officeDocument/2006/relationships/hyperlink" Target="https://search.ancestryinstitution.com/aird/search/db.aspx?dbid=7949" TargetMode="External"/><Relationship Id="rId2329" Type="http://schemas.openxmlformats.org/officeDocument/2006/relationships/hyperlink" Target="https://catalog.archives.gov/search?q=*:*&amp;f.ancestorNaIds=1154468&amp;sort=naIdSort%20asc" TargetMode="External"/><Relationship Id="rId2536" Type="http://schemas.openxmlformats.org/officeDocument/2006/relationships/hyperlink" Target="https://search.ancestryinstitution.com/aird/search/db.aspx?dbid=2503" TargetMode="External"/><Relationship Id="rId2743" Type="http://schemas.openxmlformats.org/officeDocument/2006/relationships/hyperlink" Target="https://search.ancestryinstitution.com/aird/search/db.aspx?dbid=2507" TargetMode="External"/><Relationship Id="rId410" Type="http://schemas.openxmlformats.org/officeDocument/2006/relationships/hyperlink" Target="https://catalog.archives.gov/search?q=*:*&amp;f.ancestorNaIds=4492754&amp;sort=naIdSort%20asc" TargetMode="External"/><Relationship Id="rId508" Type="http://schemas.openxmlformats.org/officeDocument/2006/relationships/hyperlink" Target="https://familysearch.org/search/collection/2426337" TargetMode="External"/><Relationship Id="rId715" Type="http://schemas.openxmlformats.org/officeDocument/2006/relationships/hyperlink" Target="https://catalog.archives.gov/search?q=*:*&amp;f.ancestorNaIds=2723261&amp;sort=naIdSort%20asc" TargetMode="External"/><Relationship Id="rId922" Type="http://schemas.openxmlformats.org/officeDocument/2006/relationships/hyperlink" Target="https://search.ancestryinstitution.com/aird/search/db.aspx?dbid=2980" TargetMode="External"/><Relationship Id="rId1138" Type="http://schemas.openxmlformats.org/officeDocument/2006/relationships/hyperlink" Target="https://familysearch.org/search/collection/1932383" TargetMode="External"/><Relationship Id="rId1345" Type="http://schemas.openxmlformats.org/officeDocument/2006/relationships/hyperlink" Target="https://catalog.archives.gov/search?q=M597&amp;f.oldScope=(descriptions%20or%20online)&amp;f.level=series&amp;f.recordGroupNoCollectionId=29&amp;SearchType=advanced" TargetMode="External"/><Relationship Id="rId1552" Type="http://schemas.openxmlformats.org/officeDocument/2006/relationships/hyperlink" Target="http://www.fold3.com/title_833/" TargetMode="External"/><Relationship Id="rId1997" Type="http://schemas.openxmlformats.org/officeDocument/2006/relationships/hyperlink" Target="https://search.ancestryinstitution.com/aird/search/db.aspx?dbid=1107" TargetMode="External"/><Relationship Id="rId2603" Type="http://schemas.openxmlformats.org/officeDocument/2006/relationships/hyperlink" Target="https://search.ancestryinstitution.com/aird/search/db.aspx?dbid=2502" TargetMode="External"/><Relationship Id="rId2950" Type="http://schemas.openxmlformats.org/officeDocument/2006/relationships/hyperlink" Target="https://catalog.archives.gov/search-within/5641629" TargetMode="External"/><Relationship Id="rId1205" Type="http://schemas.openxmlformats.org/officeDocument/2006/relationships/hyperlink" Target="https://www.fold3.com/title/38/civil-war-service-records-cmsr-confederate-officers" TargetMode="External"/><Relationship Id="rId1857" Type="http://schemas.openxmlformats.org/officeDocument/2006/relationships/hyperlink" Target="https://catalog.archives.gov/search?q=*:*&amp;f.ancestorNaIds=2790873&amp;sort=naIdSort%20asc" TargetMode="External"/><Relationship Id="rId2810" Type="http://schemas.openxmlformats.org/officeDocument/2006/relationships/hyperlink" Target="https://search.ancestryinstitution.com/aird/search/db.aspx?dbid=2509" TargetMode="External"/><Relationship Id="rId2908" Type="http://schemas.openxmlformats.org/officeDocument/2006/relationships/hyperlink" Target="https://search.ancestryinstitution.com/aird/search/db.aspx?dbid=2504" TargetMode="External"/><Relationship Id="rId51" Type="http://schemas.openxmlformats.org/officeDocument/2006/relationships/hyperlink" Target="https://catalog.archives.gov/search-within/2838406?availableOnline=true&amp;sort=naId%3Aasc" TargetMode="External"/><Relationship Id="rId1412" Type="http://schemas.openxmlformats.org/officeDocument/2006/relationships/hyperlink" Target="https://familysearch.org/search/collection/2075263" TargetMode="External"/><Relationship Id="rId1717" Type="http://schemas.openxmlformats.org/officeDocument/2006/relationships/hyperlink" Target="http://familysearch.org/" TargetMode="External"/><Relationship Id="rId1924" Type="http://schemas.openxmlformats.org/officeDocument/2006/relationships/hyperlink" Target="http://www.fold3.com/title_68/" TargetMode="External"/><Relationship Id="rId3072" Type="http://schemas.openxmlformats.org/officeDocument/2006/relationships/hyperlink" Target="https://catalog.archives.gov/search?q=*:*&amp;f.ancestorNaIds=6277852&amp;sort=naIdSort%20asc" TargetMode="External"/><Relationship Id="rId3377" Type="http://schemas.openxmlformats.org/officeDocument/2006/relationships/hyperlink" Target="https://familysearch.org/search/collection/2274801" TargetMode="External"/><Relationship Id="rId298" Type="http://schemas.openxmlformats.org/officeDocument/2006/relationships/hyperlink" Target="https://catalog.archives.gov/search?q=*:*&amp;f.ancestorNaIds=4693993" TargetMode="External"/><Relationship Id="rId158" Type="http://schemas.openxmlformats.org/officeDocument/2006/relationships/hyperlink" Target="https://ancestry.com/" TargetMode="External"/><Relationship Id="rId2186" Type="http://schemas.openxmlformats.org/officeDocument/2006/relationships/hyperlink" Target="https://search.ancestryinstitution.com/aird/search/db.aspx?dbid=60614" TargetMode="External"/><Relationship Id="rId2393" Type="http://schemas.openxmlformats.org/officeDocument/2006/relationships/hyperlink" Target="https://search.ancestryinstitution.com/aird/search/db.aspx?dbid=3026" TargetMode="External"/><Relationship Id="rId2698" Type="http://schemas.openxmlformats.org/officeDocument/2006/relationships/hyperlink" Target="https://search.ancestryinstitution.com/aird/search/db.aspx?dbid=1666" TargetMode="External"/><Relationship Id="rId3237" Type="http://schemas.openxmlformats.org/officeDocument/2006/relationships/hyperlink" Target="https://www.familysearch.org/search/catalog/3029446" TargetMode="External"/><Relationship Id="rId365" Type="http://schemas.openxmlformats.org/officeDocument/2006/relationships/hyperlink" Target="https://search.ancestryinstitution.com/search/db.aspx?dbid=1082" TargetMode="External"/><Relationship Id="rId572" Type="http://schemas.openxmlformats.org/officeDocument/2006/relationships/hyperlink" Target="https://catalog.archives.gov/search?q=*:*&amp;f.ancestorNaIds=2669417" TargetMode="External"/><Relationship Id="rId2046" Type="http://schemas.openxmlformats.org/officeDocument/2006/relationships/hyperlink" Target="https://search.ancestryinstitution.com/aird/search/db.aspx?dbid=1002" TargetMode="External"/><Relationship Id="rId2253" Type="http://schemas.openxmlformats.org/officeDocument/2006/relationships/hyperlink" Target="https://search.ancestryinstitution.com/aird/search/db.aspx?dbid=2508" TargetMode="External"/><Relationship Id="rId2460" Type="http://schemas.openxmlformats.org/officeDocument/2006/relationships/hyperlink" Target="https://catalog.archives.gov/search?q=*:*&amp;f.ancestorNaIds=2217062&amp;sort=naIdSort%20asc" TargetMode="External"/><Relationship Id="rId3304" Type="http://schemas.openxmlformats.org/officeDocument/2006/relationships/hyperlink" Target="https://familysearch.org/search/collection/2127897" TargetMode="External"/><Relationship Id="rId225" Type="http://schemas.openxmlformats.org/officeDocument/2006/relationships/hyperlink" Target="http://www.footnote.com/title_874/" TargetMode="External"/><Relationship Id="rId432" Type="http://schemas.openxmlformats.org/officeDocument/2006/relationships/hyperlink" Target="https://www.familysearch.org/search/collection/2426314" TargetMode="External"/><Relationship Id="rId877" Type="http://schemas.openxmlformats.org/officeDocument/2006/relationships/hyperlink" Target="https://catalog.archives.gov/search?q=*:*&amp;f.ancestorNaIds=2681636&amp;sort=naIdSort%20asc" TargetMode="External"/><Relationship Id="rId1062" Type="http://schemas.openxmlformats.org/officeDocument/2006/relationships/hyperlink" Target="https://catalog.archives.gov/search?q=A4177&amp;f.ancestorNaIds=3174885&amp;sort=naIdSort%20asc" TargetMode="External"/><Relationship Id="rId2113" Type="http://schemas.openxmlformats.org/officeDocument/2006/relationships/hyperlink" Target="https://search.ancestryinstitution.com/aird/search/db.aspx?dbid=2509" TargetMode="External"/><Relationship Id="rId2320" Type="http://schemas.openxmlformats.org/officeDocument/2006/relationships/hyperlink" Target="https://search.ancestryinstitution.com/aird/search/db.aspx?dbid=1174" TargetMode="External"/><Relationship Id="rId2558" Type="http://schemas.openxmlformats.org/officeDocument/2006/relationships/hyperlink" Target="https://catalog.archives.gov/search?q=*:*&amp;f.ancestorNaIds=2637977&amp;sort=naIdSort%20asc" TargetMode="External"/><Relationship Id="rId2765" Type="http://schemas.openxmlformats.org/officeDocument/2006/relationships/hyperlink" Target="https://catalog.archives.gov/search?q=*:*&amp;f.ancestorNaIds=4503228&amp;sort=titleSort%20asc" TargetMode="External"/><Relationship Id="rId2972" Type="http://schemas.openxmlformats.org/officeDocument/2006/relationships/hyperlink" Target="https://catalog.archives.gov/search?q=*:*&amp;f.ancestorNaIds=5710206&amp;sort=titleSort%20asc" TargetMode="External"/><Relationship Id="rId737" Type="http://schemas.openxmlformats.org/officeDocument/2006/relationships/hyperlink" Target="https://search.ancestryinstitution.com/aird/search/db.aspx?dbid=9220" TargetMode="External"/><Relationship Id="rId944" Type="http://schemas.openxmlformats.org/officeDocument/2006/relationships/hyperlink" Target="https://catalog.archives.gov/search?q=A3998&amp;f.ancestorNaIds=2848504&amp;sort=naIdSort%20asc" TargetMode="External"/><Relationship Id="rId1367" Type="http://schemas.openxmlformats.org/officeDocument/2006/relationships/hyperlink" Target="https://search.ancestryinstitution.com/aird/search/db.aspx?dbid=2058" TargetMode="External"/><Relationship Id="rId1574" Type="http://schemas.openxmlformats.org/officeDocument/2006/relationships/hyperlink" Target="https://familysearch.org/search/collection/1840491" TargetMode="External"/><Relationship Id="rId1781" Type="http://schemas.openxmlformats.org/officeDocument/2006/relationships/hyperlink" Target="https://www.fold3.com/title/106/naturalization-index-nyc-courts" TargetMode="External"/><Relationship Id="rId2418" Type="http://schemas.openxmlformats.org/officeDocument/2006/relationships/hyperlink" Target="https://search.ancestryinstitution.com/aird/search/db.aspx?dbid=1850" TargetMode="External"/><Relationship Id="rId2625" Type="http://schemas.openxmlformats.org/officeDocument/2006/relationships/hyperlink" Target="https://catalog.archives.gov/search-within/2934410" TargetMode="External"/><Relationship Id="rId2832" Type="http://schemas.openxmlformats.org/officeDocument/2006/relationships/hyperlink" Target="https://catalog.archives.gov/search?q=*:*&amp;f.ancestorNaIds=4656005&amp;sort=naIdSort%20asc" TargetMode="External"/><Relationship Id="rId73" Type="http://schemas.openxmlformats.org/officeDocument/2006/relationships/hyperlink" Target="https://catalog.archives.gov/search-within/2838460?availableOnline=true&amp;sort=naId%3Aasc" TargetMode="External"/><Relationship Id="rId804" Type="http://schemas.openxmlformats.org/officeDocument/2006/relationships/hyperlink" Target="https://ancestry.com/" TargetMode="External"/><Relationship Id="rId1227" Type="http://schemas.openxmlformats.org/officeDocument/2006/relationships/hyperlink" Target="https://www.fold3.com/title_695/civil_war_soldiers_union_md" TargetMode="External"/><Relationship Id="rId1434" Type="http://schemas.openxmlformats.org/officeDocument/2006/relationships/hyperlink" Target="https://familysearch.org/search/collection/2075263" TargetMode="External"/><Relationship Id="rId1641" Type="http://schemas.openxmlformats.org/officeDocument/2006/relationships/hyperlink" Target="https://www.fold3.com/title/484/utah-territorial-case-files" TargetMode="External"/><Relationship Id="rId1879" Type="http://schemas.openxmlformats.org/officeDocument/2006/relationships/hyperlink" Target="http://www.footnote.com/title_762/" TargetMode="External"/><Relationship Id="rId3094" Type="http://schemas.openxmlformats.org/officeDocument/2006/relationships/hyperlink" Target="https://catalog.archives.gov/search-within/7551460" TargetMode="External"/><Relationship Id="rId1501" Type="http://schemas.openxmlformats.org/officeDocument/2006/relationships/hyperlink" Target="https://www.fold3.com/title/61/constitutional-convention-records" TargetMode="External"/><Relationship Id="rId1739" Type="http://schemas.openxmlformats.org/officeDocument/2006/relationships/hyperlink" Target="https://www.ancestryinstitution.com/search/collections/1242/" TargetMode="External"/><Relationship Id="rId1946" Type="http://schemas.openxmlformats.org/officeDocument/2006/relationships/hyperlink" Target="https://catalog.archives.gov/search?q=*:*&amp;f.ancestorNaIds=4504574&amp;sort=naIdSort%20asc" TargetMode="External"/><Relationship Id="rId1806" Type="http://schemas.openxmlformats.org/officeDocument/2006/relationships/hyperlink" Target="https://www.fold3.com/title/494/wwii-submarine-patrol-reports" TargetMode="External"/><Relationship Id="rId3161" Type="http://schemas.openxmlformats.org/officeDocument/2006/relationships/hyperlink" Target="https://www.fold3.com/title_816/wwii_draft_registration_cards" TargetMode="External"/><Relationship Id="rId3259" Type="http://schemas.openxmlformats.org/officeDocument/2006/relationships/hyperlink" Target="https://search.ancestryinstitution.com/search/db.aspx?dbid=34666" TargetMode="External"/><Relationship Id="rId387" Type="http://schemas.openxmlformats.org/officeDocument/2006/relationships/hyperlink" Target="http://www.fold3.com/title_760/ardelia_hall_collection_selected_records/" TargetMode="External"/><Relationship Id="rId594" Type="http://schemas.openxmlformats.org/officeDocument/2006/relationships/hyperlink" Target="https://search.ancestryinstitution.com/aird/search/db.aspx?dbid=8842" TargetMode="External"/><Relationship Id="rId2068" Type="http://schemas.openxmlformats.org/officeDocument/2006/relationships/hyperlink" Target="https://catalog.archives.gov/search?q=*:*&amp;f.parentNaId=564415&amp;f.level=fileUnit&amp;sort=naIdSort%20asc&amp;f.oldScope=online" TargetMode="External"/><Relationship Id="rId2275" Type="http://schemas.openxmlformats.org/officeDocument/2006/relationships/hyperlink" Target="https://catalog.archives.gov/search?q=*:*&amp;f.ancestorNaIds=788684&amp;sort=naIdSort%20asc" TargetMode="External"/><Relationship Id="rId3021" Type="http://schemas.openxmlformats.org/officeDocument/2006/relationships/hyperlink" Target="https://catalog.archives.gov/search?q=*:*&amp;f.ancestorNaIds=6036233&amp;sort=naIdSort%20asc" TargetMode="External"/><Relationship Id="rId3119" Type="http://schemas.openxmlformats.org/officeDocument/2006/relationships/hyperlink" Target="https://catalog.archives.gov/search-within/7551470" TargetMode="External"/><Relationship Id="rId3326" Type="http://schemas.openxmlformats.org/officeDocument/2006/relationships/hyperlink" Target="https://catalog.archives.gov/search?q=*:*&amp;f.ancestorNaIds=4492734&amp;sort=naIdSort%20asc" TargetMode="External"/><Relationship Id="rId247" Type="http://schemas.openxmlformats.org/officeDocument/2006/relationships/hyperlink" Target="https://search.ancestryinstitution.com/aird/search/db.aspx?dbid=2506" TargetMode="External"/><Relationship Id="rId899" Type="http://schemas.openxmlformats.org/officeDocument/2006/relationships/hyperlink" Target="https://catalog.archives.gov/search?q=A3948&amp;f.ancestorNaIds=2788683&amp;sort=naIdSort%20asc" TargetMode="External"/><Relationship Id="rId1084" Type="http://schemas.openxmlformats.org/officeDocument/2006/relationships/hyperlink" Target="https://search.ancestryinstitution.com/aird/search/db.aspx?dbid=60501" TargetMode="External"/><Relationship Id="rId2482" Type="http://schemas.openxmlformats.org/officeDocument/2006/relationships/hyperlink" Target="https://search.ancestryinstitution.com/aird/search/db.aspx?dbid=2503" TargetMode="External"/><Relationship Id="rId2787" Type="http://schemas.openxmlformats.org/officeDocument/2006/relationships/hyperlink" Target="https://search.ancestryinstitution.com/aird/search/db.aspx?dbid=2509" TargetMode="External"/><Relationship Id="rId107" Type="http://schemas.openxmlformats.org/officeDocument/2006/relationships/hyperlink" Target="https://catalog.archives.gov/search-within/2825739?availableOnline=true&amp;sort=naId%3Aasc" TargetMode="External"/><Relationship Id="rId454" Type="http://schemas.openxmlformats.org/officeDocument/2006/relationships/hyperlink" Target="https://www.familysearch.org/search/collection/2141045" TargetMode="External"/><Relationship Id="rId661" Type="http://schemas.openxmlformats.org/officeDocument/2006/relationships/hyperlink" Target="https://catalog.archives.gov/search?q=A3592&amp;f.ancestorNaIds=2645433" TargetMode="External"/><Relationship Id="rId759" Type="http://schemas.openxmlformats.org/officeDocument/2006/relationships/hyperlink" Target="https://catalog.archives.gov/search?q=*:*&amp;f.ancestorNaIds=2645524&amp;sort=naIdSort%20asc" TargetMode="External"/><Relationship Id="rId966" Type="http://schemas.openxmlformats.org/officeDocument/2006/relationships/hyperlink" Target="https://catalog.archives.gov/search?q=A4035&amp;f.ancestorNaIds=2674882&amp;sort=naIdSort%20asc" TargetMode="External"/><Relationship Id="rId1291" Type="http://schemas.openxmlformats.org/officeDocument/2006/relationships/hyperlink" Target="https://familysearch.org/search/collection/1932429" TargetMode="External"/><Relationship Id="rId1389" Type="http://schemas.openxmlformats.org/officeDocument/2006/relationships/hyperlink" Target="https://familysearch.org/search/collection/1932426" TargetMode="External"/><Relationship Id="rId1596" Type="http://schemas.openxmlformats.org/officeDocument/2006/relationships/hyperlink" Target="https://search.ancestry.com/search/db.aspx?dbid=1629" TargetMode="External"/><Relationship Id="rId2135" Type="http://schemas.openxmlformats.org/officeDocument/2006/relationships/hyperlink" Target="https://www.familysearch.org/wiki/en/Missouri_Naturalization_and_Citizenship" TargetMode="External"/><Relationship Id="rId2342" Type="http://schemas.openxmlformats.org/officeDocument/2006/relationships/hyperlink" Target="https://search.ancestryinstitution.com/aird/search/db.aspx?dbid=2128" TargetMode="External"/><Relationship Id="rId2647" Type="http://schemas.openxmlformats.org/officeDocument/2006/relationships/hyperlink" Target="https://catalog.archives.gov/search-within/3477743" TargetMode="External"/><Relationship Id="rId2994" Type="http://schemas.openxmlformats.org/officeDocument/2006/relationships/hyperlink" Target="https://catalog.archives.gov/search-within/5725774" TargetMode="External"/><Relationship Id="rId314" Type="http://schemas.openxmlformats.org/officeDocument/2006/relationships/hyperlink" Target="https://catalog.archives.gov/search?q=*:*&amp;f.ancestorNaIds=24738377" TargetMode="External"/><Relationship Id="rId521" Type="http://schemas.openxmlformats.org/officeDocument/2006/relationships/hyperlink" Target="https://catalog.archives.gov/search?q=A3463&amp;f.ancestorNaIds=3929766" TargetMode="External"/><Relationship Id="rId619" Type="http://schemas.openxmlformats.org/officeDocument/2006/relationships/hyperlink" Target="https://search.ancestryinstitution.com/aird/search/db.aspx?dbid=2257" TargetMode="External"/><Relationship Id="rId1151" Type="http://schemas.openxmlformats.org/officeDocument/2006/relationships/hyperlink" Target="https://familysearch.org/search/collection/1849624" TargetMode="External"/><Relationship Id="rId1249" Type="http://schemas.openxmlformats.org/officeDocument/2006/relationships/hyperlink" Target="https://search.ancestryinstitution.com/aird/search/db.aspx?dbid=2344" TargetMode="External"/><Relationship Id="rId2202" Type="http://schemas.openxmlformats.org/officeDocument/2006/relationships/hyperlink" Target="https://search.ancestryinstitution.com/aird/search/db.aspx?dbid=2163" TargetMode="External"/><Relationship Id="rId2854" Type="http://schemas.openxmlformats.org/officeDocument/2006/relationships/hyperlink" Target="https://www.familysearch.org/search/catalog/3303034" TargetMode="External"/><Relationship Id="rId95" Type="http://schemas.openxmlformats.org/officeDocument/2006/relationships/hyperlink" Target="https://search.ancestryinstitution.com/aird/search/db.aspx?dbid=9272" TargetMode="External"/><Relationship Id="rId826" Type="http://schemas.openxmlformats.org/officeDocument/2006/relationships/hyperlink" Target="https://catalog.archives.gov/search?q=A3828&amp;f.ancestorNaIds=2990023&amp;sort=naIdSort%20asc" TargetMode="External"/><Relationship Id="rId1011" Type="http://schemas.openxmlformats.org/officeDocument/2006/relationships/hyperlink" Target="https://catalog.archives.gov/search?q=A4091&amp;f.ancestorNaIds=2990470&amp;sort=naIdSort%20asc" TargetMode="External"/><Relationship Id="rId1109" Type="http://schemas.openxmlformats.org/officeDocument/2006/relationships/hyperlink" Target="https://search.ancestryinstitution.com/aird/search/db.aspx?dbid=8667" TargetMode="External"/><Relationship Id="rId1456" Type="http://schemas.openxmlformats.org/officeDocument/2006/relationships/hyperlink" Target="https://search.ancestryinstitution.com/aird/search/db.aspx?dbid=1264" TargetMode="External"/><Relationship Id="rId1663" Type="http://schemas.openxmlformats.org/officeDocument/2006/relationships/hyperlink" Target="https://familysearch.org/search/collection/2185163" TargetMode="External"/><Relationship Id="rId1870" Type="http://schemas.openxmlformats.org/officeDocument/2006/relationships/hyperlink" Target="https://familysearch.org/search/collection/1932431" TargetMode="External"/><Relationship Id="rId1968" Type="http://schemas.openxmlformats.org/officeDocument/2006/relationships/hyperlink" Target="https://search.ancestryinstitution.com/aird/search/db.aspx?dbid=8842" TargetMode="External"/><Relationship Id="rId2507" Type="http://schemas.openxmlformats.org/officeDocument/2006/relationships/hyperlink" Target="https://search.ancestryinstitution.com/aird/search/db.aspx?dbid=2505" TargetMode="External"/><Relationship Id="rId2714" Type="http://schemas.openxmlformats.org/officeDocument/2006/relationships/hyperlink" Target="https://search.ancestryinstitution.com/aird/search/db.aspx?dbid=2508" TargetMode="External"/><Relationship Id="rId2921" Type="http://schemas.openxmlformats.org/officeDocument/2006/relationships/hyperlink" Target="https://catalog.archives.gov/search-within/4796024" TargetMode="External"/><Relationship Id="rId1316" Type="http://schemas.openxmlformats.org/officeDocument/2006/relationships/hyperlink" Target="https://catalog.archives.gov/search-within/654530?q=record.microformPublications.identifier%3AM549&amp;sort=title%3Aasc" TargetMode="External"/><Relationship Id="rId1523" Type="http://schemas.openxmlformats.org/officeDocument/2006/relationships/hyperlink" Target="https://familysearch.org/search/collection/2250054" TargetMode="External"/><Relationship Id="rId1730" Type="http://schemas.openxmlformats.org/officeDocument/2006/relationships/hyperlink" Target="https://www.fold3.com/title/98/naturalization-index-ma" TargetMode="External"/><Relationship Id="rId3183" Type="http://schemas.openxmlformats.org/officeDocument/2006/relationships/hyperlink" Target="http://www.footnote.com/title_650/" TargetMode="External"/><Relationship Id="rId22" Type="http://schemas.openxmlformats.org/officeDocument/2006/relationships/hyperlink" Target="https://search.ancestryinstitution.com/aird/search/db.aspx?dbid=9220" TargetMode="External"/><Relationship Id="rId1828" Type="http://schemas.openxmlformats.org/officeDocument/2006/relationships/hyperlink" Target="https://search.ancestryinstitution.com/aird/search/db.aspx?dbid=1082" TargetMode="External"/><Relationship Id="rId3043" Type="http://schemas.openxmlformats.org/officeDocument/2006/relationships/hyperlink" Target="https://catalog.archives.gov/search-within/6106282" TargetMode="External"/><Relationship Id="rId3250" Type="http://schemas.openxmlformats.org/officeDocument/2006/relationships/hyperlink" Target="https://catalog.archives.gov/search?q=*:*&amp;f.ancestorNaIds=1187483&amp;sort=naIdSort%20asc" TargetMode="External"/><Relationship Id="rId171" Type="http://schemas.openxmlformats.org/officeDocument/2006/relationships/hyperlink" Target="https://search.ancestryinstitution.com/aird/search/db.aspx?dbid=1277" TargetMode="External"/><Relationship Id="rId2297" Type="http://schemas.openxmlformats.org/officeDocument/2006/relationships/hyperlink" Target="https://catalog.archives.gov/search?q=*:*&amp;f.ancestorNaIds=1133902&amp;sort=naIdSort%20asc" TargetMode="External"/><Relationship Id="rId3348" Type="http://schemas.openxmlformats.org/officeDocument/2006/relationships/hyperlink" Target="http://familysearch.org/" TargetMode="External"/><Relationship Id="rId269" Type="http://schemas.openxmlformats.org/officeDocument/2006/relationships/hyperlink" Target="https://search.ancestryinstitution.com/aird/search/db.aspx?dbid=2502" TargetMode="External"/><Relationship Id="rId476" Type="http://schemas.openxmlformats.org/officeDocument/2006/relationships/hyperlink" Target="https://www.familysearch.org/search/collection/2376891" TargetMode="External"/><Relationship Id="rId683" Type="http://schemas.openxmlformats.org/officeDocument/2006/relationships/hyperlink" Target="https://catalog.archives.gov/search?q=A3609&amp;f.ancestorNaIds=2806074&amp;sort=naIdSort%20asc" TargetMode="External"/><Relationship Id="rId890" Type="http://schemas.openxmlformats.org/officeDocument/2006/relationships/hyperlink" Target="https://catalog.archives.gov/search-within/2827793" TargetMode="External"/><Relationship Id="rId2157" Type="http://schemas.openxmlformats.org/officeDocument/2006/relationships/hyperlink" Target="https://search.ancestryinstitution.com/aird/search/db.aspx?dbid=1002" TargetMode="External"/><Relationship Id="rId2364" Type="http://schemas.openxmlformats.org/officeDocument/2006/relationships/hyperlink" Target="https://catalog.archives.gov/search?q=*:*&amp;f.ancestorNaIds=1253298&amp;sort=naIdSort%20asc" TargetMode="External"/><Relationship Id="rId2571" Type="http://schemas.openxmlformats.org/officeDocument/2006/relationships/hyperlink" Target="https://search.ancestryinstitution.com/aird/search/db.aspx?dbid=2502" TargetMode="External"/><Relationship Id="rId3110" Type="http://schemas.openxmlformats.org/officeDocument/2006/relationships/hyperlink" Target="https://search.ancestryinstitution.com/aird/search/db.aspx?dbid=60593" TargetMode="External"/><Relationship Id="rId3208" Type="http://schemas.openxmlformats.org/officeDocument/2006/relationships/hyperlink" Target="https://catalog.archives.gov/search?q=*:*&amp;f.ancestorNaIds=68143444&amp;sort=naIdSort%20asc" TargetMode="External"/><Relationship Id="rId129" Type="http://schemas.openxmlformats.org/officeDocument/2006/relationships/hyperlink" Target="https://catalog.archives.gov/search-within/2922361?availableOnline=true&amp;sort=naId%3Aasc" TargetMode="External"/><Relationship Id="rId336" Type="http://schemas.openxmlformats.org/officeDocument/2006/relationships/hyperlink" Target="http://familysearch.org/" TargetMode="External"/><Relationship Id="rId543" Type="http://schemas.openxmlformats.org/officeDocument/2006/relationships/hyperlink" Target="https://catalog.archives.gov/search?q=*:*&amp;f.ancestorNaIds=4644676&amp;sort=naIdSort%20asc" TargetMode="External"/><Relationship Id="rId988" Type="http://schemas.openxmlformats.org/officeDocument/2006/relationships/hyperlink" Target="https://search.ancestryinstitution.com/aird/search/db.aspx?dbid=60613" TargetMode="External"/><Relationship Id="rId1173" Type="http://schemas.openxmlformats.org/officeDocument/2006/relationships/hyperlink" Target="https://familysearch.org/search/collection/1987567" TargetMode="External"/><Relationship Id="rId1380" Type="http://schemas.openxmlformats.org/officeDocument/2006/relationships/hyperlink" Target="https://search.ancestryinstitution.com/aird/search/db.aspx?dbid=2126" TargetMode="External"/><Relationship Id="rId2017" Type="http://schemas.openxmlformats.org/officeDocument/2006/relationships/hyperlink" Target="https://catalog.archives.gov/search?q=M2094&amp;f.ancestorNaIds=566157" TargetMode="External"/><Relationship Id="rId2224" Type="http://schemas.openxmlformats.org/officeDocument/2006/relationships/hyperlink" Target="https://catalog.archives.gov/search?q=*:*&amp;f.ancestorNaIds=649147&amp;sort=titleSort%20asc" TargetMode="External"/><Relationship Id="rId2669" Type="http://schemas.openxmlformats.org/officeDocument/2006/relationships/hyperlink" Target="https://search.ancestryinstitution.com/aird/search/db.aspx?dbid=1850" TargetMode="External"/><Relationship Id="rId2876" Type="http://schemas.openxmlformats.org/officeDocument/2006/relationships/hyperlink" Target="https://catalog.archives.gov/search?q=*:*&amp;f.ancestorNaIds=4696019&amp;sort=titleSort%20asc" TargetMode="External"/><Relationship Id="rId403" Type="http://schemas.openxmlformats.org/officeDocument/2006/relationships/hyperlink" Target="https://www.familysearch.org/search/collection/2421844" TargetMode="External"/><Relationship Id="rId750" Type="http://schemas.openxmlformats.org/officeDocument/2006/relationships/hyperlink" Target="https://catalog.archives.gov/search?q=A3690&amp;f.ancestorNaIds=3020769&amp;sort=naIdSort%20asc" TargetMode="External"/><Relationship Id="rId848" Type="http://schemas.openxmlformats.org/officeDocument/2006/relationships/hyperlink" Target="https://catalog.archives.gov/search?q=A3858&amp;f.ancestorNaIds=2646945&amp;sort=naIdSort%20asc" TargetMode="External"/><Relationship Id="rId1033" Type="http://schemas.openxmlformats.org/officeDocument/2006/relationships/hyperlink" Target="https://ancestry.com/" TargetMode="External"/><Relationship Id="rId1478" Type="http://schemas.openxmlformats.org/officeDocument/2006/relationships/hyperlink" Target="https://familysearch.org/search/collection/2427901" TargetMode="External"/><Relationship Id="rId1685" Type="http://schemas.openxmlformats.org/officeDocument/2006/relationships/hyperlink" Target="https://familysearch.org/search/collection/1876434" TargetMode="External"/><Relationship Id="rId1892" Type="http://schemas.openxmlformats.org/officeDocument/2006/relationships/hyperlink" Target="http://www.footnote.com/title_762/" TargetMode="External"/><Relationship Id="rId2431" Type="http://schemas.openxmlformats.org/officeDocument/2006/relationships/hyperlink" Target="http://familysearch.org/" TargetMode="External"/><Relationship Id="rId2529" Type="http://schemas.openxmlformats.org/officeDocument/2006/relationships/hyperlink" Target="https://catalog.archives.gov/search-within/2555986" TargetMode="External"/><Relationship Id="rId2736" Type="http://schemas.openxmlformats.org/officeDocument/2006/relationships/hyperlink" Target="https://catalog.archives.gov/search-within/4492461" TargetMode="External"/><Relationship Id="rId610" Type="http://schemas.openxmlformats.org/officeDocument/2006/relationships/hyperlink" Target="https://search.ancestryinstitution.com/aird/search/db.aspx?dbid=60501" TargetMode="External"/><Relationship Id="rId708" Type="http://schemas.openxmlformats.org/officeDocument/2006/relationships/hyperlink" Target="https://search.ancestryinstitution.com/aird/search/db.aspx?dbid=9128" TargetMode="External"/><Relationship Id="rId915" Type="http://schemas.openxmlformats.org/officeDocument/2006/relationships/hyperlink" Target="https://ancestry.com/" TargetMode="External"/><Relationship Id="rId1240" Type="http://schemas.openxmlformats.org/officeDocument/2006/relationships/hyperlink" Target="https://catalog.archives.gov/search-within/300398?page=2&amp;q=record.microformPublications.identifier%3AM397&amp;sort=title%3Aasc" TargetMode="External"/><Relationship Id="rId1338" Type="http://schemas.openxmlformats.org/officeDocument/2006/relationships/hyperlink" Target="https://search.ancestryinstitution.com/aird/search/db.aspx?dbid=8758" TargetMode="External"/><Relationship Id="rId1545" Type="http://schemas.openxmlformats.org/officeDocument/2006/relationships/hyperlink" Target="https://search.ancestryinstitution.com/aird/search/db.aspx?dbid=2058" TargetMode="External"/><Relationship Id="rId2943" Type="http://schemas.openxmlformats.org/officeDocument/2006/relationships/hyperlink" Target="https://catalog.archives.gov/search?q=*:*&amp;f.ancestorNaIds=5635883&amp;sort=naIdSort%20asc" TargetMode="External"/><Relationship Id="rId1100" Type="http://schemas.openxmlformats.org/officeDocument/2006/relationships/hyperlink" Target="https://familysearch.org/search/collection/1803958" TargetMode="External"/><Relationship Id="rId1405" Type="http://schemas.openxmlformats.org/officeDocument/2006/relationships/hyperlink" Target="https://search.ancestryinstitution.com/aird/search/db.aspx?dbid=1264" TargetMode="External"/><Relationship Id="rId1752" Type="http://schemas.openxmlformats.org/officeDocument/2006/relationships/hyperlink" Target="https://www.fold3.com/title/118/naturalizations-pa-middle" TargetMode="External"/><Relationship Id="rId2803" Type="http://schemas.openxmlformats.org/officeDocument/2006/relationships/hyperlink" Target="https://catalog.archives.gov/search?q=*:*&amp;f.ancestorNaIds=4522222&amp;sort=naIdSort%20asc" TargetMode="External"/><Relationship Id="rId44" Type="http://schemas.openxmlformats.org/officeDocument/2006/relationships/hyperlink" Target="https://search.ancestryinstitution.com/aird/search/db.aspx?dbid=1277" TargetMode="External"/><Relationship Id="rId1612" Type="http://schemas.openxmlformats.org/officeDocument/2006/relationships/hyperlink" Target="https://search.ancestryinstitution.com/aird/search/db.aspx?dbid=2397" TargetMode="External"/><Relationship Id="rId1917" Type="http://schemas.openxmlformats.org/officeDocument/2006/relationships/hyperlink" Target="https://search.ancestryinstitution.com/aird/search/db.aspx?dbid=1554" TargetMode="External"/><Relationship Id="rId3065" Type="http://schemas.openxmlformats.org/officeDocument/2006/relationships/hyperlink" Target="https://search.ancestryinstitution.com/aird/search/db.aspx?dbid=61174" TargetMode="External"/><Relationship Id="rId3272" Type="http://schemas.openxmlformats.org/officeDocument/2006/relationships/hyperlink" Target="https://catalog.archives.gov/id/594258" TargetMode="External"/><Relationship Id="rId193" Type="http://schemas.openxmlformats.org/officeDocument/2006/relationships/hyperlink" Target="https://search.ancestryinstitution.com/aird/search/db.aspx?dbid=2975" TargetMode="External"/><Relationship Id="rId498" Type="http://schemas.openxmlformats.org/officeDocument/2006/relationships/hyperlink" Target="https://catalog.archives.gov/search?q=*:*&amp;f.ancestorNaIds=3939303&amp;sort=naIdSort%20asc" TargetMode="External"/><Relationship Id="rId2081" Type="http://schemas.openxmlformats.org/officeDocument/2006/relationships/hyperlink" Target="https://search.ancestryinstitution.com/aird/search/db.aspx?dbid=2509" TargetMode="External"/><Relationship Id="rId2179" Type="http://schemas.openxmlformats.org/officeDocument/2006/relationships/hyperlink" Target="https://catalog.archives.gov/search-within/611026" TargetMode="External"/><Relationship Id="rId3132" Type="http://schemas.openxmlformats.org/officeDocument/2006/relationships/hyperlink" Target="https://search.ancestryinstitution.com/aird/search/db.aspx?dbid=1002" TargetMode="External"/><Relationship Id="rId260" Type="http://schemas.openxmlformats.org/officeDocument/2006/relationships/hyperlink" Target="https://catalog.archives.gov/search?q=*:*&amp;f.ancestorNaIds=1227673" TargetMode="External"/><Relationship Id="rId2386" Type="http://schemas.openxmlformats.org/officeDocument/2006/relationships/hyperlink" Target="https://familysearch.org/search/collection/2285702" TargetMode="External"/><Relationship Id="rId2593" Type="http://schemas.openxmlformats.org/officeDocument/2006/relationships/hyperlink" Target="https://search.ancestryinstitution.com/aird/search/db.aspx?dbid=1714" TargetMode="External"/><Relationship Id="rId120" Type="http://schemas.openxmlformats.org/officeDocument/2006/relationships/hyperlink" Target="https://search.ancestryinstitution.com/search/db.aspx?dbid=8722" TargetMode="External"/><Relationship Id="rId358" Type="http://schemas.openxmlformats.org/officeDocument/2006/relationships/hyperlink" Target="https://search.ancestryinstitution.com/search/db.aspx?dbid=7949" TargetMode="External"/><Relationship Id="rId565" Type="http://schemas.openxmlformats.org/officeDocument/2006/relationships/hyperlink" Target="https://search.ancestryinstitution.com/aird/search/db.aspx?dbid=5309" TargetMode="External"/><Relationship Id="rId772" Type="http://schemas.openxmlformats.org/officeDocument/2006/relationships/hyperlink" Target="https://search.ancestryinstitution.com/aird/search/db.aspx?dbid=9120" TargetMode="External"/><Relationship Id="rId1195" Type="http://schemas.openxmlformats.org/officeDocument/2006/relationships/hyperlink" Target="https://search.ancestry.com/search/db.aspx?dbid=2322" TargetMode="External"/><Relationship Id="rId2039" Type="http://schemas.openxmlformats.org/officeDocument/2006/relationships/hyperlink" Target="https://familysearch.org/search/collection/1922519" TargetMode="External"/><Relationship Id="rId2246" Type="http://schemas.openxmlformats.org/officeDocument/2006/relationships/hyperlink" Target="https://catalog.archives.gov/search?q=*:*&amp;f.ancestorNaIds=731194&amp;sort=naIdSort%20asc" TargetMode="External"/><Relationship Id="rId2453" Type="http://schemas.openxmlformats.org/officeDocument/2006/relationships/hyperlink" Target="https://search.ancestryinstitution.com/aird/search/db.aspx?dbid=2500" TargetMode="External"/><Relationship Id="rId2660" Type="http://schemas.openxmlformats.org/officeDocument/2006/relationships/hyperlink" Target="https://search.ancestryinstitution.com/aird/search/db.aspx?dbid=2503" TargetMode="External"/><Relationship Id="rId2898" Type="http://schemas.openxmlformats.org/officeDocument/2006/relationships/hyperlink" Target="https://search.ancestryinstitution.com/aird/search/db.aspx?dbid=2507" TargetMode="External"/><Relationship Id="rId218" Type="http://schemas.openxmlformats.org/officeDocument/2006/relationships/hyperlink" Target="https://search.ancestryinstitution.com/aird/search/db.aspx?dbid=1005" TargetMode="External"/><Relationship Id="rId425" Type="http://schemas.openxmlformats.org/officeDocument/2006/relationships/hyperlink" Target="https://search.ancestryinstitution.com/search/db.aspx?dbid=1914" TargetMode="External"/><Relationship Id="rId632" Type="http://schemas.openxmlformats.org/officeDocument/2006/relationships/hyperlink" Target="https://familysearch.org/search/collection/2443935" TargetMode="External"/><Relationship Id="rId1055" Type="http://schemas.openxmlformats.org/officeDocument/2006/relationships/hyperlink" Target="https://catalog.archives.gov/search?q=A4169&amp;f.ancestorNaIds=3335533sort=naIdSort%20asc" TargetMode="External"/><Relationship Id="rId1262" Type="http://schemas.openxmlformats.org/officeDocument/2006/relationships/hyperlink" Target="https://familysearch.org/search/collection/1932425" TargetMode="External"/><Relationship Id="rId2106" Type="http://schemas.openxmlformats.org/officeDocument/2006/relationships/hyperlink" Target="https://search.ancestryinstitution.com/aird/search/db.aspx?dbid=2498" TargetMode="External"/><Relationship Id="rId2313" Type="http://schemas.openxmlformats.org/officeDocument/2006/relationships/hyperlink" Target="https://familysearch.org/search/collection/2173973" TargetMode="External"/><Relationship Id="rId2520" Type="http://schemas.openxmlformats.org/officeDocument/2006/relationships/hyperlink" Target="https://search.ancestryinstitution.com/aird/search/db.aspx?dbid=1174" TargetMode="External"/><Relationship Id="rId2758" Type="http://schemas.openxmlformats.org/officeDocument/2006/relationships/hyperlink" Target="https://www.familysearch.org/wiki/en/Puerto_Rico,_Naturalization_Records_-_FamilySearch_Historical_Records" TargetMode="External"/><Relationship Id="rId2965" Type="http://schemas.openxmlformats.org/officeDocument/2006/relationships/hyperlink" Target="https://familysearch.org/search/collection/2137708" TargetMode="External"/><Relationship Id="rId937" Type="http://schemas.openxmlformats.org/officeDocument/2006/relationships/hyperlink" Target="https://search.ancestryinstitution.com/aird/search/db.aspx?dbid=9220" TargetMode="External"/><Relationship Id="rId1122" Type="http://schemas.openxmlformats.org/officeDocument/2006/relationships/hyperlink" Target="https://www.fold3.com/title/469/revolutionary-war-rolls" TargetMode="External"/><Relationship Id="rId1567" Type="http://schemas.openxmlformats.org/officeDocument/2006/relationships/hyperlink" Target="https://familysearch.org/search/collection/1888682" TargetMode="External"/><Relationship Id="rId1774" Type="http://schemas.openxmlformats.org/officeDocument/2006/relationships/hyperlink" Target="https://search.ancestryinstitution.com/aird/search/db.aspx?dbid=1238" TargetMode="External"/><Relationship Id="rId1981" Type="http://schemas.openxmlformats.org/officeDocument/2006/relationships/hyperlink" Target="https://catalog.archives.gov/search-within/300398?page=2&amp;q=record.microformPublications.identifier%3AM1992&amp;sort=naId%3Aasc" TargetMode="External"/><Relationship Id="rId2618" Type="http://schemas.openxmlformats.org/officeDocument/2006/relationships/hyperlink" Target="https://catalog.archives.gov/search?q=*:*&amp;f.ancestorNaIds=2867028&amp;sort=naIdSort%20asc" TargetMode="External"/><Relationship Id="rId2825" Type="http://schemas.openxmlformats.org/officeDocument/2006/relationships/hyperlink" Target="https://catalog.archives.gov/search?q=*:*&amp;f.ancestorNaIds=4576618&amp;sort=naIdSort%20asc" TargetMode="External"/><Relationship Id="rId66" Type="http://schemas.openxmlformats.org/officeDocument/2006/relationships/hyperlink" Target="https://search.ancestryinstitution.com/aird/search/db.aspx?dbid=9118" TargetMode="External"/><Relationship Id="rId1427" Type="http://schemas.openxmlformats.org/officeDocument/2006/relationships/hyperlink" Target="https://search.ancestryinstitution.com/aird/search/db.aspx?dbid=1264" TargetMode="External"/><Relationship Id="rId1634" Type="http://schemas.openxmlformats.org/officeDocument/2006/relationships/hyperlink" Target="https://search.ancestryinstitution.com/aird/search/db.aspx?dbid=2974" TargetMode="External"/><Relationship Id="rId1841" Type="http://schemas.openxmlformats.org/officeDocument/2006/relationships/hyperlink" Target="https://www.fold3.com/title/631/wwii-oss-art-looting-investigation-reports/browse" TargetMode="External"/><Relationship Id="rId3087" Type="http://schemas.openxmlformats.org/officeDocument/2006/relationships/hyperlink" Target="https://catalog.archives.gov/search?q=*:*&amp;f.ancestorNaIds=7284583&amp;sort=naIdSort%20asc" TargetMode="External"/><Relationship Id="rId3294" Type="http://schemas.openxmlformats.org/officeDocument/2006/relationships/hyperlink" Target="https://familysearch.org/search/collection/2127893" TargetMode="External"/><Relationship Id="rId1939" Type="http://schemas.openxmlformats.org/officeDocument/2006/relationships/hyperlink" Target="https://catalog.archives.gov/search?q=M1923&amp;f.oldScope=online&amp;f.level=fileunit&amp;SearchType=advanced&amp;f.recordGroupNoCollectionId=260" TargetMode="External"/><Relationship Id="rId1701" Type="http://schemas.openxmlformats.org/officeDocument/2006/relationships/hyperlink" Target="https://catalog.archives.gov/search?q=*:*&amp;f.ancestorNaIds=299796&amp;sort=naIdSort%20asc" TargetMode="External"/><Relationship Id="rId3154" Type="http://schemas.openxmlformats.org/officeDocument/2006/relationships/hyperlink" Target="https://search.ancestryinstitution.com/aird/search/db.aspx?dbid=2238" TargetMode="External"/><Relationship Id="rId3361" Type="http://schemas.openxmlformats.org/officeDocument/2006/relationships/hyperlink" Target="https://familysearch.org/search/collection/1916228" TargetMode="External"/><Relationship Id="rId282" Type="http://schemas.openxmlformats.org/officeDocument/2006/relationships/hyperlink" Target="https://catalog.archives.gov/search?q=*:*&amp;f.ancestorNaIds=2658538" TargetMode="External"/><Relationship Id="rId587" Type="http://schemas.openxmlformats.org/officeDocument/2006/relationships/hyperlink" Target="https://catalog.archives.gov/search?q=*:*&amp;f.ancestorNaIds=2674821&amp;sort=naIdSort%20asc" TargetMode="External"/><Relationship Id="rId2170" Type="http://schemas.openxmlformats.org/officeDocument/2006/relationships/hyperlink" Target="https://search.ancestryinstitution.com/aird/search/db.aspx?dbid=60614" TargetMode="External"/><Relationship Id="rId2268" Type="http://schemas.openxmlformats.org/officeDocument/2006/relationships/hyperlink" Target="https://search.ancestryinstitution.com/aird/search/db.aspx?dbid=1850" TargetMode="External"/><Relationship Id="rId3014" Type="http://schemas.openxmlformats.org/officeDocument/2006/relationships/hyperlink" Target="http://www.footnote.com/title_763/" TargetMode="External"/><Relationship Id="rId3221" Type="http://schemas.openxmlformats.org/officeDocument/2006/relationships/hyperlink" Target="https://catalog.archives.gov/search-within/78122507" TargetMode="External"/><Relationship Id="rId3319" Type="http://schemas.openxmlformats.org/officeDocument/2006/relationships/hyperlink" Target="https://familysearch.org/search/collection/1854308" TargetMode="External"/><Relationship Id="rId8" Type="http://schemas.openxmlformats.org/officeDocument/2006/relationships/hyperlink" Target="https://search.ancestryinstitution.com/search/db.aspx?dbid=60517" TargetMode="External"/><Relationship Id="rId142" Type="http://schemas.openxmlformats.org/officeDocument/2006/relationships/hyperlink" Target="https://search.ancestryinstitution.com/aird/search/db.aspx?dbid=8842" TargetMode="External"/><Relationship Id="rId447" Type="http://schemas.openxmlformats.org/officeDocument/2006/relationships/hyperlink" Target="https://catalog.archives.gov/search?q=*:*&amp;f.ancestorNaIds=4497943&amp;sort=naIdSort%20asc" TargetMode="External"/><Relationship Id="rId794" Type="http://schemas.openxmlformats.org/officeDocument/2006/relationships/hyperlink" Target="https://catalog.archives.gov/search?q=A3770&amp;f.ancestorNaIds=2825691&amp;sort=naIdSort%20asc" TargetMode="External"/><Relationship Id="rId1077" Type="http://schemas.openxmlformats.org/officeDocument/2006/relationships/hyperlink" Target="https://ancestry.com/" TargetMode="External"/><Relationship Id="rId2030" Type="http://schemas.openxmlformats.org/officeDocument/2006/relationships/hyperlink" Target="https://search.ancestryinstitution.com/aird/search/db.aspx?dbid=1143" TargetMode="External"/><Relationship Id="rId2128" Type="http://schemas.openxmlformats.org/officeDocument/2006/relationships/hyperlink" Target="https://search.ancestryinstitution.com/aird/search/db.aspx?dbid=2509" TargetMode="External"/><Relationship Id="rId2475" Type="http://schemas.openxmlformats.org/officeDocument/2006/relationships/hyperlink" Target="https://catalog.archives.gov/search?q=*:*&amp;f.ancestorNaIds=2292803" TargetMode="External"/><Relationship Id="rId2682" Type="http://schemas.openxmlformats.org/officeDocument/2006/relationships/hyperlink" Target="https://catalog.archives.gov/search?q=*:*&amp;f.ancestorNaIds=3741390&amp;sort=naIdSort%20asc" TargetMode="External"/><Relationship Id="rId2987" Type="http://schemas.openxmlformats.org/officeDocument/2006/relationships/hyperlink" Target="https://catalog.archives.gov/search?q=*:*&amp;f.ancestorNaIds=5720620&amp;sort=naIdSort%20asc" TargetMode="External"/><Relationship Id="rId654" Type="http://schemas.openxmlformats.org/officeDocument/2006/relationships/hyperlink" Target="https://catalog.archives.gov/search?q=*:*&amp;f.ancestorNaIds=2922370&amp;sort=naIdSort%20asc" TargetMode="External"/><Relationship Id="rId861" Type="http://schemas.openxmlformats.org/officeDocument/2006/relationships/hyperlink" Target="https://catalog.archives.gov/search?q=A3897&amp;f.ancestorNaIds=3453100&amp;sort=naIdSort%20asc" TargetMode="External"/><Relationship Id="rId959" Type="http://schemas.openxmlformats.org/officeDocument/2006/relationships/hyperlink" Target="https://catalog.archives.gov/search?q=A4016&amp;f.ancestorNaIds=3284957&amp;sort=naIdSort%20asc" TargetMode="External"/><Relationship Id="rId1284" Type="http://schemas.openxmlformats.org/officeDocument/2006/relationships/hyperlink" Target="http://www.footnote.com/title_64/" TargetMode="External"/><Relationship Id="rId1491" Type="http://schemas.openxmlformats.org/officeDocument/2006/relationships/hyperlink" Target="https://search.ancestryinstitution.com/aird/search/db.aspx?dbid=1165" TargetMode="External"/><Relationship Id="rId1589" Type="http://schemas.openxmlformats.org/officeDocument/2006/relationships/hyperlink" Target="https://search.ancestryinstitution.com/search/db.aspx?dbid=1629" TargetMode="External"/><Relationship Id="rId2335" Type="http://schemas.openxmlformats.org/officeDocument/2006/relationships/hyperlink" Target="https://search.ancestryinstitution.com/aird/search/db.aspx?dbid=9177" TargetMode="External"/><Relationship Id="rId2542" Type="http://schemas.openxmlformats.org/officeDocument/2006/relationships/hyperlink" Target="https://catalog.archives.gov/search?q=*:*&amp;f.ancestorNaIds=2602421&amp;sort=naIdSort%20asc" TargetMode="External"/><Relationship Id="rId307" Type="http://schemas.openxmlformats.org/officeDocument/2006/relationships/hyperlink" Target="http://www.footnote.com/title_650/" TargetMode="External"/><Relationship Id="rId514" Type="http://schemas.openxmlformats.org/officeDocument/2006/relationships/hyperlink" Target="https://search.ancestryinstitution.com/aird/search/db.aspx?dbid=1075" TargetMode="External"/><Relationship Id="rId721" Type="http://schemas.openxmlformats.org/officeDocument/2006/relationships/hyperlink" Target="https://search.ancestryinstitution.com/aird/search/db.aspx?dbid=9128" TargetMode="External"/><Relationship Id="rId1144" Type="http://schemas.openxmlformats.org/officeDocument/2006/relationships/hyperlink" Target="https://familysearch.org/search/collection/2304666" TargetMode="External"/><Relationship Id="rId1351" Type="http://schemas.openxmlformats.org/officeDocument/2006/relationships/hyperlink" Target="http://www.footnote.com/title_875/" TargetMode="External"/><Relationship Id="rId1449" Type="http://schemas.openxmlformats.org/officeDocument/2006/relationships/hyperlink" Target="https://search.ancestryinstitution.com/aird/search/db.aspx?dbid=1264" TargetMode="External"/><Relationship Id="rId1796" Type="http://schemas.openxmlformats.org/officeDocument/2006/relationships/hyperlink" Target="https://www.fold3.com/title/459/photos-ww-ii-japanese" TargetMode="External"/><Relationship Id="rId2402" Type="http://schemas.openxmlformats.org/officeDocument/2006/relationships/hyperlink" Target="https://search.ancestryinstitution.com/aird/search/db.aspx?dbid=2501" TargetMode="External"/><Relationship Id="rId2847" Type="http://schemas.openxmlformats.org/officeDocument/2006/relationships/hyperlink" Target="https://catalog.archives.gov/search?q=*:*&amp;f.ancestorNaIds=4684511&amp;sort=naIdSort%20asc" TargetMode="External"/><Relationship Id="rId88" Type="http://schemas.openxmlformats.org/officeDocument/2006/relationships/hyperlink" Target="https://search.ancestryinstitution.com/aird/search/db.aspx?dbid=2996" TargetMode="External"/><Relationship Id="rId819" Type="http://schemas.openxmlformats.org/officeDocument/2006/relationships/hyperlink" Target="https://catalog.archives.gov/search?q=A3822&amp;f.ancestorNaIds=2619350&amp;sort=naIdSort%20asc" TargetMode="External"/><Relationship Id="rId1004" Type="http://schemas.openxmlformats.org/officeDocument/2006/relationships/hyperlink" Target="https://ancestry.com/" TargetMode="External"/><Relationship Id="rId1211" Type="http://schemas.openxmlformats.org/officeDocument/2006/relationships/hyperlink" Target="https://search.ancestryinstitution.com/aird/search/db.aspx?dbid=2399" TargetMode="External"/><Relationship Id="rId1656" Type="http://schemas.openxmlformats.org/officeDocument/2006/relationships/hyperlink" Target="https://search.ancestryinstitution.com/aird/search/db.aspx?dbid=7949" TargetMode="External"/><Relationship Id="rId1863" Type="http://schemas.openxmlformats.org/officeDocument/2006/relationships/hyperlink" Target="https://search.ancestryinstitution.com/aird/search/db.aspx?dbid=2208" TargetMode="External"/><Relationship Id="rId2707" Type="http://schemas.openxmlformats.org/officeDocument/2006/relationships/hyperlink" Target="https://search.ancestryinstitution.com/aird/search/db.aspx?dbid=2507" TargetMode="External"/><Relationship Id="rId2914" Type="http://schemas.openxmlformats.org/officeDocument/2006/relationships/hyperlink" Target="https://catalog.archives.gov/search-within/4719564" TargetMode="External"/><Relationship Id="rId1309" Type="http://schemas.openxmlformats.org/officeDocument/2006/relationships/hyperlink" Target="http://www.fold3.com/title_813/" TargetMode="External"/><Relationship Id="rId1516" Type="http://schemas.openxmlformats.org/officeDocument/2006/relationships/hyperlink" Target="http://www.footnote.com/title_852/" TargetMode="External"/><Relationship Id="rId1723" Type="http://schemas.openxmlformats.org/officeDocument/2006/relationships/hyperlink" Target="https://search.ancestryinstitution.com/aird/search/db.aspx?dbid=1554" TargetMode="External"/><Relationship Id="rId1930" Type="http://schemas.openxmlformats.org/officeDocument/2006/relationships/hyperlink" Target="https://catalog.archives.gov/search?q=*:*&amp;f.ancestorNaIds=2124617&amp;sort=naIdSort%20asc" TargetMode="External"/><Relationship Id="rId3176" Type="http://schemas.openxmlformats.org/officeDocument/2006/relationships/hyperlink" Target="https://search.ancestryinstitution.com/aird/search/db.aspx?dbid=2238" TargetMode="External"/><Relationship Id="rId3383" Type="http://schemas.openxmlformats.org/officeDocument/2006/relationships/hyperlink" Target="https://www.fold3.com/title/461/project-blue-book-ufo-investigations" TargetMode="External"/><Relationship Id="rId15" Type="http://schemas.openxmlformats.org/officeDocument/2006/relationships/hyperlink" Target="https://catalog.archives.gov/search-within/2723253?availableOnline=true&amp;sort=naId%3Aasc" TargetMode="External"/><Relationship Id="rId2192" Type="http://schemas.openxmlformats.org/officeDocument/2006/relationships/hyperlink" Target="https://catalog.archives.gov/search-within/623234" TargetMode="External"/><Relationship Id="rId3036" Type="http://schemas.openxmlformats.org/officeDocument/2006/relationships/hyperlink" Target="http://familysearch.org/" TargetMode="External"/><Relationship Id="rId3243" Type="http://schemas.openxmlformats.org/officeDocument/2006/relationships/hyperlink" Target="https://www.familysearch.org/search/catalog/4092161" TargetMode="External"/><Relationship Id="rId164" Type="http://schemas.openxmlformats.org/officeDocument/2006/relationships/hyperlink" Target="https://catalog.archives.gov/search-within/3431492?availableOnline=true&amp;sort=naId%3Aasc" TargetMode="External"/><Relationship Id="rId371" Type="http://schemas.openxmlformats.org/officeDocument/2006/relationships/hyperlink" Target="https://catalog.archives.gov/search?q=*:*&amp;f.ancestorNaIds=4503310&amp;sort=naIdSort%20asc" TargetMode="External"/><Relationship Id="rId2052" Type="http://schemas.openxmlformats.org/officeDocument/2006/relationships/hyperlink" Target="http://www.footnote.com/title_458/" TargetMode="External"/><Relationship Id="rId2497" Type="http://schemas.openxmlformats.org/officeDocument/2006/relationships/hyperlink" Target="https://catalog.archives.gov/search?q=*:*&amp;f.ancestorNaIds=%202435810&amp;sort=naIdSort%20asc" TargetMode="External"/><Relationship Id="rId469" Type="http://schemas.openxmlformats.org/officeDocument/2006/relationships/hyperlink" Target="https://search.ancestryinstitution.com/search/db.aspx?dbid=1247" TargetMode="External"/><Relationship Id="rId676" Type="http://schemas.openxmlformats.org/officeDocument/2006/relationships/hyperlink" Target="https://search.ancestryinstitution.com/aird/search/db.aspx?dbid=8745" TargetMode="External"/><Relationship Id="rId883" Type="http://schemas.openxmlformats.org/officeDocument/2006/relationships/hyperlink" Target="https://catalog.archives.gov/search?q=*:*&amp;f.ancestorNaIds=2790616&amp;sort=naIdSort%20asc" TargetMode="External"/><Relationship Id="rId1099" Type="http://schemas.openxmlformats.org/officeDocument/2006/relationships/hyperlink" Target="https://search.ancestryinstitution.com/aird/search/db.aspx?dbid=8058" TargetMode="External"/><Relationship Id="rId2357" Type="http://schemas.openxmlformats.org/officeDocument/2006/relationships/hyperlink" Target="https://search.ancestryinstitution.com/aird/search/db.aspx?dbid=1174" TargetMode="External"/><Relationship Id="rId2564" Type="http://schemas.openxmlformats.org/officeDocument/2006/relationships/hyperlink" Target="https://search.ancestryinstitution.com/aird/search/db.aspx?dbid=2509" TargetMode="External"/><Relationship Id="rId3103" Type="http://schemas.openxmlformats.org/officeDocument/2006/relationships/hyperlink" Target="https://catalog.archives.gov/search-within/7551463" TargetMode="External"/><Relationship Id="rId3310" Type="http://schemas.openxmlformats.org/officeDocument/2006/relationships/hyperlink" Target="https://aad.archives.gov/aad/series-description.jsp?s=3550&amp;cat=SB2170&amp;bc=sb,sl" TargetMode="External"/><Relationship Id="rId231" Type="http://schemas.openxmlformats.org/officeDocument/2006/relationships/hyperlink" Target="http://www.footnote.com/title_868/" TargetMode="External"/><Relationship Id="rId329" Type="http://schemas.openxmlformats.org/officeDocument/2006/relationships/hyperlink" Target="https://catalog.archives.gov/search?q=*:*&amp;f.ancestorNaIds=24493475" TargetMode="External"/><Relationship Id="rId536" Type="http://schemas.openxmlformats.org/officeDocument/2006/relationships/hyperlink" Target="https://search.ancestryinstitution.com/aird/search/db.aspx?dbid=7949" TargetMode="External"/><Relationship Id="rId1166" Type="http://schemas.openxmlformats.org/officeDocument/2006/relationships/hyperlink" Target="https://www.fold3.com/title/43/civil-war-service-records-cmsr-union-alabama" TargetMode="External"/><Relationship Id="rId1373" Type="http://schemas.openxmlformats.org/officeDocument/2006/relationships/hyperlink" Target="https://search.ancestryinstitution.com/aird/search/db.aspx?dbid=1225" TargetMode="External"/><Relationship Id="rId2217" Type="http://schemas.openxmlformats.org/officeDocument/2006/relationships/hyperlink" Target="https://search.ancestryinstitution.com/aird/search/db.aspx?dbid=2507" TargetMode="External"/><Relationship Id="rId2771" Type="http://schemas.openxmlformats.org/officeDocument/2006/relationships/hyperlink" Target="https://search.ancestryinstitution.com/aird/search/db.aspx?dbid=2507" TargetMode="External"/><Relationship Id="rId2869" Type="http://schemas.openxmlformats.org/officeDocument/2006/relationships/hyperlink" Target="https://search.ancestryinstitution.com/aird/search/db.aspx?dbid=2507" TargetMode="External"/><Relationship Id="rId743" Type="http://schemas.openxmlformats.org/officeDocument/2006/relationships/hyperlink" Target="https://catalog.archives.gov/search?q=A3683&amp;f.ancestorNaIds=4492481" TargetMode="External"/><Relationship Id="rId950" Type="http://schemas.openxmlformats.org/officeDocument/2006/relationships/hyperlink" Target="https://catalog.archives.gov/search?q=A4006&amp;f.ancestorNaIds=3179977&amp;sort=naIdSort%20asc" TargetMode="External"/><Relationship Id="rId1026" Type="http://schemas.openxmlformats.org/officeDocument/2006/relationships/hyperlink" Target="https://search.ancestryinstitution.com/aird/search/db.aspx?dbid=7484" TargetMode="External"/><Relationship Id="rId1580" Type="http://schemas.openxmlformats.org/officeDocument/2006/relationships/hyperlink" Target="https://search.ancestryinstitution.com/aird/search/db.aspx?dbid=1554" TargetMode="External"/><Relationship Id="rId1678" Type="http://schemas.openxmlformats.org/officeDocument/2006/relationships/hyperlink" Target="https://search.ancestryinstitution.com/aird/search/db.aspx?dbid=1070" TargetMode="External"/><Relationship Id="rId1885" Type="http://schemas.openxmlformats.org/officeDocument/2006/relationships/hyperlink" Target="https://catalog.archives.gov/search-within/300398?page=2&amp;q=record.microformPublications.identifier%3AM1822&amp;sort=naId%3Aasc" TargetMode="External"/><Relationship Id="rId2424" Type="http://schemas.openxmlformats.org/officeDocument/2006/relationships/hyperlink" Target="https://catalog.archives.gov/search?q=*:*&amp;f.ancestorNaIds=2117769&amp;sort=naIdSort%20asc" TargetMode="External"/><Relationship Id="rId2631" Type="http://schemas.openxmlformats.org/officeDocument/2006/relationships/hyperlink" Target="https://search.ancestryinstitution.com/aird/search/db.aspx?dbid=2506" TargetMode="External"/><Relationship Id="rId2729" Type="http://schemas.openxmlformats.org/officeDocument/2006/relationships/hyperlink" Target="https://catalog.archives.gov/search-within/4486976" TargetMode="External"/><Relationship Id="rId2936" Type="http://schemas.openxmlformats.org/officeDocument/2006/relationships/hyperlink" Target="https://search.ancestryinstitution.com/aird/search/db.aspx?dbid=2509" TargetMode="External"/><Relationship Id="rId603" Type="http://schemas.openxmlformats.org/officeDocument/2006/relationships/hyperlink" Target="https://search.ancestryinstitution.com/aird/search/db.aspx?dbid=8722" TargetMode="External"/><Relationship Id="rId810" Type="http://schemas.openxmlformats.org/officeDocument/2006/relationships/hyperlink" Target="https://search.ancestryinstitution.com/aird/search/db.aspx?dbid=9127" TargetMode="External"/><Relationship Id="rId908" Type="http://schemas.openxmlformats.org/officeDocument/2006/relationships/hyperlink" Target="https://search.ancestryinstitution.com/aird/search/db.aspx?dbid=7484" TargetMode="External"/><Relationship Id="rId1233" Type="http://schemas.openxmlformats.org/officeDocument/2006/relationships/hyperlink" Target="https://www.fold3.com/title/696/civil-war-soldiers-union-tn" TargetMode="External"/><Relationship Id="rId1440" Type="http://schemas.openxmlformats.org/officeDocument/2006/relationships/hyperlink" Target="https://familysearch.org/search/collection/2075263" TargetMode="External"/><Relationship Id="rId1538" Type="http://schemas.openxmlformats.org/officeDocument/2006/relationships/hyperlink" Target="https://familysearch.org/search/collection/1936545" TargetMode="External"/><Relationship Id="rId1300" Type="http://schemas.openxmlformats.org/officeDocument/2006/relationships/hyperlink" Target="https://catalog.archives.gov/search-within/654530?q=record.microformPublications.identifier%3AM539&amp;sort=title%3Aasc" TargetMode="External"/><Relationship Id="rId1745" Type="http://schemas.openxmlformats.org/officeDocument/2006/relationships/hyperlink" Target="https://catalog.archives.gov/search?q=M1614&amp;f.level=fileUnit&amp;sort=naIdSort%20asc&amp;f.recordGroupNoCollectionId=LOS&amp;f.oldScope=online" TargetMode="External"/><Relationship Id="rId1952" Type="http://schemas.openxmlformats.org/officeDocument/2006/relationships/hyperlink" Target="https://catalog.archives.gov/search?q=m1941%20and%20fold3&amp;f.level=fileunit&amp;f.locationIds=33&amp;f.oldScope=online&amp;f.recordGroupNoCollectionId=260" TargetMode="External"/><Relationship Id="rId3198" Type="http://schemas.openxmlformats.org/officeDocument/2006/relationships/hyperlink" Target="http://www.footnote.com/title_650/" TargetMode="External"/><Relationship Id="rId37" Type="http://schemas.openxmlformats.org/officeDocument/2006/relationships/hyperlink" Target="https://search.ancestryinstitution.com/aird/search/db.aspx?dbid=7949" TargetMode="External"/><Relationship Id="rId1605" Type="http://schemas.openxmlformats.org/officeDocument/2006/relationships/hyperlink" Target="https://familysearch.org/search/collection/1852605" TargetMode="External"/><Relationship Id="rId1812" Type="http://schemas.openxmlformats.org/officeDocument/2006/relationships/hyperlink" Target="https://search.ancestryinstitution.com/aird/search/db.aspx?dbid=1082" TargetMode="External"/><Relationship Id="rId3058" Type="http://schemas.openxmlformats.org/officeDocument/2006/relationships/hyperlink" Target="https://search.ancestryinstitution.com/aird/search/db.aspx?dbid=60593" TargetMode="External"/><Relationship Id="rId3265" Type="http://schemas.openxmlformats.org/officeDocument/2006/relationships/hyperlink" Target="https://www.fold3.com/title/3/american-milestone-documents" TargetMode="External"/><Relationship Id="rId186" Type="http://schemas.openxmlformats.org/officeDocument/2006/relationships/hyperlink" Target="https://catalog.archives.gov/search-within/4076546?availableOnline=true&amp;sort=naId%3Aasc" TargetMode="External"/><Relationship Id="rId393" Type="http://schemas.openxmlformats.org/officeDocument/2006/relationships/hyperlink" Target="https://catalog.archives.gov/search?q=*:*&amp;f.ancestorNaIds=4372464&amp;sort=naIdSort%20asc" TargetMode="External"/><Relationship Id="rId2074" Type="http://schemas.openxmlformats.org/officeDocument/2006/relationships/hyperlink" Target="https://search.ancestryinstitution.com/aird/search/db.aspx?dbid=2509" TargetMode="External"/><Relationship Id="rId2281" Type="http://schemas.openxmlformats.org/officeDocument/2006/relationships/hyperlink" Target="https://familysearch.org/search/collection/2187007" TargetMode="External"/><Relationship Id="rId3125" Type="http://schemas.openxmlformats.org/officeDocument/2006/relationships/hyperlink" Target="http://familysearch.org/" TargetMode="External"/><Relationship Id="rId3332" Type="http://schemas.openxmlformats.org/officeDocument/2006/relationships/hyperlink" Target="https://catalog.archives.gov/search?q=T624&amp;f.recordGroupNoCollectionId=29" TargetMode="External"/><Relationship Id="rId253" Type="http://schemas.openxmlformats.org/officeDocument/2006/relationships/hyperlink" Target="https://catalog.archives.gov/search?q=*:*&amp;f.ancestorNaIds=788666&amp;sort=naIdSort%20asc" TargetMode="External"/><Relationship Id="rId460" Type="http://schemas.openxmlformats.org/officeDocument/2006/relationships/hyperlink" Target="https://search.ancestryinstitution.com/search/db.aspx?dbid=1075" TargetMode="External"/><Relationship Id="rId698" Type="http://schemas.openxmlformats.org/officeDocument/2006/relationships/hyperlink" Target="https://catalog.archives.gov/search?q=A3621&amp;f.ancestorNaIds=2788508&amp;sort=naIdSort%20asc" TargetMode="External"/><Relationship Id="rId1090" Type="http://schemas.openxmlformats.org/officeDocument/2006/relationships/hyperlink" Target="http://familysearch.org/" TargetMode="External"/><Relationship Id="rId2141" Type="http://schemas.openxmlformats.org/officeDocument/2006/relationships/hyperlink" Target="https://catalog.archives.gov/search?q=*:*&amp;f.ancestorNaIds=596118&amp;sort=naIdSort%20asc&amp;f.oldScope=online&amp;f.level=fileunit" TargetMode="External"/><Relationship Id="rId2379" Type="http://schemas.openxmlformats.org/officeDocument/2006/relationships/hyperlink" Target="https://catalog.archives.gov/search?q=*:*&amp;f.ancestorNaIds=1263004&amp;sort=naIdSort%20asc" TargetMode="External"/><Relationship Id="rId2586" Type="http://schemas.openxmlformats.org/officeDocument/2006/relationships/hyperlink" Target="https://catalog.archives.gov/search?q=*:*&amp;f.ancestorNaIds=2694723&amp;sort=naIdSort%20asc" TargetMode="External"/><Relationship Id="rId2793" Type="http://schemas.openxmlformats.org/officeDocument/2006/relationships/hyperlink" Target="https://search.ancestryinstitution.com/aird/search/db.aspx?dbid=2509" TargetMode="External"/><Relationship Id="rId113" Type="http://schemas.openxmlformats.org/officeDocument/2006/relationships/hyperlink" Target="https://catalog.archives.gov/search-within/2775157?availableOnline=true&amp;sort=naId%3Aasc" TargetMode="External"/><Relationship Id="rId320" Type="http://schemas.openxmlformats.org/officeDocument/2006/relationships/hyperlink" Target="http://familysearch.org/" TargetMode="External"/><Relationship Id="rId558" Type="http://schemas.openxmlformats.org/officeDocument/2006/relationships/hyperlink" Target="https://search.ancestryinstitution.com/aird/search/db.aspx?dbid=1075" TargetMode="External"/><Relationship Id="rId765" Type="http://schemas.openxmlformats.org/officeDocument/2006/relationships/hyperlink" Target="https://search.ancestryinstitution.com/aird/search/db.aspx?dbid=9127" TargetMode="External"/><Relationship Id="rId972" Type="http://schemas.openxmlformats.org/officeDocument/2006/relationships/hyperlink" Target="https://search.ancestryinstitution.com/aird/search/db.aspx?dbid=7949" TargetMode="External"/><Relationship Id="rId1188" Type="http://schemas.openxmlformats.org/officeDocument/2006/relationships/hyperlink" Target="https://search.ancestryinstitution.com/aird/search/db.aspx?dbid=2322" TargetMode="External"/><Relationship Id="rId1395" Type="http://schemas.openxmlformats.org/officeDocument/2006/relationships/hyperlink" Target="https://search.ancestryinstitution.com/aird/search/db.aspx?dbid=1225" TargetMode="External"/><Relationship Id="rId2001" Type="http://schemas.openxmlformats.org/officeDocument/2006/relationships/hyperlink" Target="https://familysearch.org/search/collection/1932388" TargetMode="External"/><Relationship Id="rId2239" Type="http://schemas.openxmlformats.org/officeDocument/2006/relationships/hyperlink" Target="https://search.ancestryinstitution.com/aird/search/db.aspx?dbid=4903" TargetMode="External"/><Relationship Id="rId2446" Type="http://schemas.openxmlformats.org/officeDocument/2006/relationships/hyperlink" Target="https://www.fold3.com/title_816/wwii_draft_registration_cards" TargetMode="External"/><Relationship Id="rId2653" Type="http://schemas.openxmlformats.org/officeDocument/2006/relationships/hyperlink" Target="https://catalog.archives.gov/search-within/3477989" TargetMode="External"/><Relationship Id="rId2860" Type="http://schemas.openxmlformats.org/officeDocument/2006/relationships/hyperlink" Target="https://catalog.archives.gov/search?q=*:*&amp;f.ancestorNaIds=4693981&amp;sort=titleSort%20asc" TargetMode="External"/><Relationship Id="rId418" Type="http://schemas.openxmlformats.org/officeDocument/2006/relationships/hyperlink" Target="https://search.ancestryinstitution.com/aird/search/db.aspx?dbid=1914" TargetMode="External"/><Relationship Id="rId625" Type="http://schemas.openxmlformats.org/officeDocument/2006/relationships/hyperlink" Target="https://catalog.archives.gov/search?q=A3557&amp;f.ancestorNaIds=2663444&amp;sort=naIdSort%20asc" TargetMode="External"/><Relationship Id="rId832" Type="http://schemas.openxmlformats.org/officeDocument/2006/relationships/hyperlink" Target="https://catalog.archives.gov/search?q=A3842&amp;f.ancestorNaIds=2789004&amp;sort=naIdSort%20asc" TargetMode="External"/><Relationship Id="rId1048" Type="http://schemas.openxmlformats.org/officeDocument/2006/relationships/hyperlink" Target="https://ancestry.com/" TargetMode="External"/><Relationship Id="rId1255" Type="http://schemas.openxmlformats.org/officeDocument/2006/relationships/hyperlink" Target="https://catalog.archives.gov/search-within/300398?page=2&amp;q=record.microformPublications.identifier%3AM401&amp;sort=title%3Aasc" TargetMode="External"/><Relationship Id="rId1462" Type="http://schemas.openxmlformats.org/officeDocument/2006/relationships/hyperlink" Target="https://search.ancestryinstitution.com/aird/search/db.aspx?dbid=1264" TargetMode="External"/><Relationship Id="rId2306" Type="http://schemas.openxmlformats.org/officeDocument/2006/relationships/hyperlink" Target="https://familysearch.org/search/collection/2173973" TargetMode="External"/><Relationship Id="rId2513" Type="http://schemas.openxmlformats.org/officeDocument/2006/relationships/hyperlink" Target="https://catalog.archives.gov/search?q=*:*&amp;f.ancestorNaIds=2524339&amp;sort=naIdSort%20asc" TargetMode="External"/><Relationship Id="rId2958" Type="http://schemas.openxmlformats.org/officeDocument/2006/relationships/hyperlink" Target="https://search.ancestryinstitution.com/aird/search/db.aspx?dbid=2501" TargetMode="External"/><Relationship Id="rId1115" Type="http://schemas.openxmlformats.org/officeDocument/2006/relationships/hyperlink" Target="https://www.fold3.com/title/21/cherokee-indian-agency-tn" TargetMode="External"/><Relationship Id="rId1322" Type="http://schemas.openxmlformats.org/officeDocument/2006/relationships/hyperlink" Target="https://catalog.archives.gov/search-within/654530?q=record.microformPublications.identifier%3AM552&amp;sort=title%3Aasc" TargetMode="External"/><Relationship Id="rId1767" Type="http://schemas.openxmlformats.org/officeDocument/2006/relationships/hyperlink" Target="https://search.ancestryinstitution.com/aird/search/db.aspx?dbid=1554" TargetMode="External"/><Relationship Id="rId1974" Type="http://schemas.openxmlformats.org/officeDocument/2006/relationships/hyperlink" Target="https://familysearch.org/search/collection/1932394" TargetMode="External"/><Relationship Id="rId2720" Type="http://schemas.openxmlformats.org/officeDocument/2006/relationships/hyperlink" Target="https://search.ancestryinstitution.com/aird/search/db.aspx?dbid=2508" TargetMode="External"/><Relationship Id="rId2818" Type="http://schemas.openxmlformats.org/officeDocument/2006/relationships/hyperlink" Target="https://www.familysearch.org/wiki/en/Puerto_Rico,_Naturalization_Records_-_FamilySearch_Historical_Records" TargetMode="External"/><Relationship Id="rId59" Type="http://schemas.openxmlformats.org/officeDocument/2006/relationships/hyperlink" Target="https://catalog.archives.gov/search-within/2827592?availableOnline=true&amp;sort=naId%3Aasc" TargetMode="External"/><Relationship Id="rId1627" Type="http://schemas.openxmlformats.org/officeDocument/2006/relationships/hyperlink" Target="https://familysearch.org/search/collection/2185145" TargetMode="External"/><Relationship Id="rId1834" Type="http://schemas.openxmlformats.org/officeDocument/2006/relationships/hyperlink" Target="https://search.ancestryinstitution.com/aird/search/db.aspx?dbid=1264" TargetMode="External"/><Relationship Id="rId3287" Type="http://schemas.openxmlformats.org/officeDocument/2006/relationships/hyperlink" Target="https://familysearch.org/search/collection/2110813" TargetMode="External"/><Relationship Id="rId2096" Type="http://schemas.openxmlformats.org/officeDocument/2006/relationships/hyperlink" Target="https://search.ancestryinstitution.com/aird/search/db.aspx?dbid=1002" TargetMode="External"/><Relationship Id="rId1901" Type="http://schemas.openxmlformats.org/officeDocument/2006/relationships/hyperlink" Target="http://www.footnote.com/title_767/" TargetMode="External"/><Relationship Id="rId3147" Type="http://schemas.openxmlformats.org/officeDocument/2006/relationships/hyperlink" Target="https://www.fold3.com/title_816/wwii_draft_registration_cards" TargetMode="External"/><Relationship Id="rId3354" Type="http://schemas.openxmlformats.org/officeDocument/2006/relationships/hyperlink" Target="https://catalog.archives.gov/search?q=*:*&amp;f.ancestorNaIds=4345370&amp;sort=naIdSort%20asc" TargetMode="External"/><Relationship Id="rId275" Type="http://schemas.openxmlformats.org/officeDocument/2006/relationships/hyperlink" Target="https://search.ancestryinstitution.com/aird/search/db.aspx?dbid=2502" TargetMode="External"/><Relationship Id="rId482" Type="http://schemas.openxmlformats.org/officeDocument/2006/relationships/hyperlink" Target="https://catalog.archives.gov/search?q=*:*&amp;f.ancestorNaIds=4492477&amp;sort=naIdSort%20asc" TargetMode="External"/><Relationship Id="rId2163" Type="http://schemas.openxmlformats.org/officeDocument/2006/relationships/hyperlink" Target="https://search.ancestryinstitution.com/aird/search/db.aspx?dbid=60614" TargetMode="External"/><Relationship Id="rId2370" Type="http://schemas.openxmlformats.org/officeDocument/2006/relationships/hyperlink" Target="https://catalog.archives.gov/search?q=*:*&amp;f.ancestorNaIds=1258956&amp;sort=naIdSort%20asc" TargetMode="External"/><Relationship Id="rId3007" Type="http://schemas.openxmlformats.org/officeDocument/2006/relationships/hyperlink" Target="https://search.ancestryinstitution.com/aird/search/db.aspx?dbid=2590" TargetMode="External"/><Relationship Id="rId3214" Type="http://schemas.openxmlformats.org/officeDocument/2006/relationships/hyperlink" Target="https://catalog.archives.gov/search?q=*:*&amp;f.ancestorNaIds=75718118&amp;sort=naIdSort%20asc" TargetMode="External"/><Relationship Id="rId135" Type="http://schemas.openxmlformats.org/officeDocument/2006/relationships/hyperlink" Target="https://catalog.archives.gov/search-within/2789205?availableOnline=true&amp;sort=naId%3Aasc" TargetMode="External"/><Relationship Id="rId342" Type="http://schemas.openxmlformats.org/officeDocument/2006/relationships/hyperlink" Target="http://familysearch.org/" TargetMode="External"/><Relationship Id="rId787" Type="http://schemas.openxmlformats.org/officeDocument/2006/relationships/hyperlink" Target="https://catalog.archives.gov/search?q=A3763&amp;f.ancestorNaIds=2734812&amp;sort=naIdSort%20asc" TargetMode="External"/><Relationship Id="rId994" Type="http://schemas.openxmlformats.org/officeDocument/2006/relationships/hyperlink" Target="https://search.ancestryinstitution.com/aird/search/db.aspx?dbid=8842" TargetMode="External"/><Relationship Id="rId2023" Type="http://schemas.openxmlformats.org/officeDocument/2006/relationships/hyperlink" Target="https://search.ancestryinstitution.com/aird/search/db.aspx?dbid=7484" TargetMode="External"/><Relationship Id="rId2230" Type="http://schemas.openxmlformats.org/officeDocument/2006/relationships/hyperlink" Target="http://www.fold3.com/title_764/" TargetMode="External"/><Relationship Id="rId2468" Type="http://schemas.openxmlformats.org/officeDocument/2006/relationships/hyperlink" Target="https://search.ancestryinstitution.com/aird/search/db.aspx?dbid=2500" TargetMode="External"/><Relationship Id="rId2675" Type="http://schemas.openxmlformats.org/officeDocument/2006/relationships/hyperlink" Target="https://search.ancestryinstitution.com/aird/search/db.aspx?dbid=2509" TargetMode="External"/><Relationship Id="rId2882" Type="http://schemas.openxmlformats.org/officeDocument/2006/relationships/hyperlink" Target="https://catalog.archives.gov/search?q=*:*&amp;f.ancestorNaIds=4697018&amp;sort=naIdSort%20asc" TargetMode="External"/><Relationship Id="rId202" Type="http://schemas.openxmlformats.org/officeDocument/2006/relationships/hyperlink" Target="https://familysearch.org/search/collection/1916081" TargetMode="External"/><Relationship Id="rId647" Type="http://schemas.openxmlformats.org/officeDocument/2006/relationships/hyperlink" Target="https://search.ancestryinstitution.com/aird/search/db.aspx?dbid=1502" TargetMode="External"/><Relationship Id="rId854" Type="http://schemas.openxmlformats.org/officeDocument/2006/relationships/hyperlink" Target="http://ancestry.com/" TargetMode="External"/><Relationship Id="rId1277" Type="http://schemas.openxmlformats.org/officeDocument/2006/relationships/hyperlink" Target="https://familysearch.org/search/collection/1908535" TargetMode="External"/><Relationship Id="rId1484" Type="http://schemas.openxmlformats.org/officeDocument/2006/relationships/hyperlink" Target="http://www.footnote.com/title_770/" TargetMode="External"/><Relationship Id="rId1691" Type="http://schemas.openxmlformats.org/officeDocument/2006/relationships/hyperlink" Target="https://familysearch.org/search/collection/2185145" TargetMode="External"/><Relationship Id="rId2328" Type="http://schemas.openxmlformats.org/officeDocument/2006/relationships/hyperlink" Target="https://catalog.archives.gov/search?q=*:*&amp;f.ancestorNaIds=1151887&amp;sort=naIdSort%20asc" TargetMode="External"/><Relationship Id="rId2535" Type="http://schemas.openxmlformats.org/officeDocument/2006/relationships/hyperlink" Target="https://catalog.archives.gov/search?q=*:*&amp;f.ancestorNaIds=2602411&amp;sort=naIdSort%20asc" TargetMode="External"/><Relationship Id="rId2742" Type="http://schemas.openxmlformats.org/officeDocument/2006/relationships/hyperlink" Target="https://catalog.archives.gov/search?q=*:*&amp;f.ancestorNaIds=4499426&amp;sort=titleSort%20asc" TargetMode="External"/><Relationship Id="rId507" Type="http://schemas.openxmlformats.org/officeDocument/2006/relationships/hyperlink" Target="https://search.ancestryinstitution.com/aird/search/db.aspx?dbid=8758" TargetMode="External"/><Relationship Id="rId714" Type="http://schemas.openxmlformats.org/officeDocument/2006/relationships/hyperlink" Target="https://catalog.archives.gov/search?q=A3644&amp;f.ancestorNaIds=2838525&amp;sort=naIdSort%20asc" TargetMode="External"/><Relationship Id="rId921" Type="http://schemas.openxmlformats.org/officeDocument/2006/relationships/hyperlink" Target="https://catalog.archives.gov/search?q=A3975&amp;f.ancestorNaIds=2945720" TargetMode="External"/><Relationship Id="rId1137" Type="http://schemas.openxmlformats.org/officeDocument/2006/relationships/hyperlink" Target="http://search.ancestryinstitution.com/aird/search/db.aspx?dbid=2322" TargetMode="External"/><Relationship Id="rId1344" Type="http://schemas.openxmlformats.org/officeDocument/2006/relationships/hyperlink" Target="https://familysearch.org/search/collection/2018318" TargetMode="External"/><Relationship Id="rId1551" Type="http://schemas.openxmlformats.org/officeDocument/2006/relationships/hyperlink" Target="https://catalog.archives.gov/search?q=M1064&amp;f.ancestorNaIds=300360&amp;sort=naIdSort%20asc&amp;f.oldScope=online" TargetMode="External"/><Relationship Id="rId1789" Type="http://schemas.openxmlformats.org/officeDocument/2006/relationships/hyperlink" Target="https://www.fold3.com/title/104/naturalization-index-ny-southern-petitions" TargetMode="External"/><Relationship Id="rId1996" Type="http://schemas.openxmlformats.org/officeDocument/2006/relationships/hyperlink" Target="https://www.fold3.com/title/746/civil-war-service-records-cmsr-union-colored-troops-47th-55th-infantry" TargetMode="External"/><Relationship Id="rId2602" Type="http://schemas.openxmlformats.org/officeDocument/2006/relationships/hyperlink" Target="https://search.ancestryinstitution.com/aird/search/db.aspx?dbid=2505" TargetMode="External"/><Relationship Id="rId50" Type="http://schemas.openxmlformats.org/officeDocument/2006/relationships/hyperlink" Target="https://search.ancestryinstitution.com/search/db.aspx?dbid=8722" TargetMode="External"/><Relationship Id="rId1204" Type="http://schemas.openxmlformats.org/officeDocument/2006/relationships/hyperlink" Target="https://catalog.archives.gov/search?q=M331&amp;f.ancestorNaIds=586957" TargetMode="External"/><Relationship Id="rId1411" Type="http://schemas.openxmlformats.org/officeDocument/2006/relationships/hyperlink" Target="https://search.ancestryinstitution.com/aird/search/db.aspx?dbid=1264" TargetMode="External"/><Relationship Id="rId1649" Type="http://schemas.openxmlformats.org/officeDocument/2006/relationships/hyperlink" Target="https://catalog.archives.gov/search?q=*:*&amp;f.ancestorNaIds=4449166&amp;sort=naIdSort%20asc" TargetMode="External"/><Relationship Id="rId1856" Type="http://schemas.openxmlformats.org/officeDocument/2006/relationships/hyperlink" Target="https://familysearch.org/search/collection/1932420" TargetMode="External"/><Relationship Id="rId2907" Type="http://schemas.openxmlformats.org/officeDocument/2006/relationships/hyperlink" Target="https://search.ancestryinstitution.com/aird/search/db.aspx?dbid=2507" TargetMode="External"/><Relationship Id="rId3071" Type="http://schemas.openxmlformats.org/officeDocument/2006/relationships/hyperlink" Target="https://familysearch.org/search/collection/2613134" TargetMode="External"/><Relationship Id="rId1509" Type="http://schemas.openxmlformats.org/officeDocument/2006/relationships/hyperlink" Target="https://catalog.archives.gov/search?q=*:*&amp;f.ancestorNaIds=572134&amp;sort=naIdSort%20asc" TargetMode="External"/><Relationship Id="rId1716" Type="http://schemas.openxmlformats.org/officeDocument/2006/relationships/hyperlink" Target="https://catalog.archives.gov/search?q=*:*&amp;f.ancestorNaIds=2791276&amp;sort=naIdSort%20asc" TargetMode="External"/><Relationship Id="rId1923" Type="http://schemas.openxmlformats.org/officeDocument/2006/relationships/hyperlink" Target="http://familysearch.org/" TargetMode="External"/><Relationship Id="rId3169" Type="http://schemas.openxmlformats.org/officeDocument/2006/relationships/hyperlink" Target="https://search.ancestryinstitution.com/aird/search/db.aspx?dbid=2238" TargetMode="External"/><Relationship Id="rId3376" Type="http://schemas.openxmlformats.org/officeDocument/2006/relationships/hyperlink" Target="https://search.ancestryinstitution.com/search/db.aspx?dbid=1634" TargetMode="External"/><Relationship Id="rId297" Type="http://schemas.openxmlformats.org/officeDocument/2006/relationships/hyperlink" Target="https://search.ancestryinstitution.com/aird/search/db.aspx?dbid=2507" TargetMode="External"/><Relationship Id="rId2185" Type="http://schemas.openxmlformats.org/officeDocument/2006/relationships/hyperlink" Target="https://catalog.archives.gov/search-within/616473" TargetMode="External"/><Relationship Id="rId2392" Type="http://schemas.openxmlformats.org/officeDocument/2006/relationships/hyperlink" Target="https://search.ancestryinstitution.com/aird/search/db.aspx?dbid=2505" TargetMode="External"/><Relationship Id="rId3029" Type="http://schemas.openxmlformats.org/officeDocument/2006/relationships/hyperlink" Target="https://catalog.archives.gov/search?q=*:*&amp;f.ancestorNaIds=6037072&amp;sort=naIdSort%20asc" TargetMode="External"/><Relationship Id="rId3236" Type="http://schemas.openxmlformats.org/officeDocument/2006/relationships/hyperlink" Target="https://catalog.archives.gov/search?q=*:*&amp;f.ancestorNaIds=81557108&amp;sort=naIdSort%20asc" TargetMode="External"/><Relationship Id="rId157" Type="http://schemas.openxmlformats.org/officeDocument/2006/relationships/hyperlink" Target="https://catalog.archives.gov/search-within/3882249?availableOnline=true&amp;sort=naId%3Aasc" TargetMode="External"/><Relationship Id="rId364" Type="http://schemas.openxmlformats.org/officeDocument/2006/relationships/hyperlink" Target="https://www.familysearch.org/search/collection/2423050" TargetMode="External"/><Relationship Id="rId2045" Type="http://schemas.openxmlformats.org/officeDocument/2006/relationships/hyperlink" Target="http://www.footnote.com/title_922/" TargetMode="External"/><Relationship Id="rId2697" Type="http://schemas.openxmlformats.org/officeDocument/2006/relationships/hyperlink" Target="https://catalog.archives.gov/search?q=*:*&amp;f.ancestorNaIds=4213514&amp;sort=naIdSort%20asc" TargetMode="External"/><Relationship Id="rId571" Type="http://schemas.openxmlformats.org/officeDocument/2006/relationships/hyperlink" Target="https://catalog.archives.gov/search?q=A3500&amp;f.ancestorNaIds=2669486&amp;sort=naIdSort%20asc" TargetMode="External"/><Relationship Id="rId669" Type="http://schemas.openxmlformats.org/officeDocument/2006/relationships/hyperlink" Target="https://search.ancestry.com/aird/search/db.aspx?dbid=9220" TargetMode="External"/><Relationship Id="rId876" Type="http://schemas.openxmlformats.org/officeDocument/2006/relationships/hyperlink" Target="https://catalog.archives.gov/search?q=A3921&amp;f.ancestorNaIds=3335554&amp;sort=naIdSort%20asc" TargetMode="External"/><Relationship Id="rId1299" Type="http://schemas.openxmlformats.org/officeDocument/2006/relationships/hyperlink" Target="http://www.fold3.com/title_820/" TargetMode="External"/><Relationship Id="rId2252" Type="http://schemas.openxmlformats.org/officeDocument/2006/relationships/hyperlink" Target="https://catalog.archives.gov/search?q=*:*&amp;f.ancestorNaIds=731210&amp;sort=naIdSort%20asc" TargetMode="External"/><Relationship Id="rId2557" Type="http://schemas.openxmlformats.org/officeDocument/2006/relationships/hyperlink" Target="https://search.ancestryinstitution.com/aird/search/db.aspx?dbid=2503" TargetMode="External"/><Relationship Id="rId3303" Type="http://schemas.openxmlformats.org/officeDocument/2006/relationships/hyperlink" Target="https://aad.archives.gov/aad/fielded-search.jsp?dt=230&amp;cat=SB81&amp;tf=F&amp;bc=sb,sl" TargetMode="External"/><Relationship Id="rId224" Type="http://schemas.openxmlformats.org/officeDocument/2006/relationships/hyperlink" Target="http://www.fold3.com/title_762/civil_war_soldiers_union_colored_troops/" TargetMode="External"/><Relationship Id="rId431" Type="http://schemas.openxmlformats.org/officeDocument/2006/relationships/hyperlink" Target="https://catalog.archives.gov/search?q=*:*&amp;f.ancestorNaIds=4497875&amp;sort=naIdSort%20asc" TargetMode="External"/><Relationship Id="rId529" Type="http://schemas.openxmlformats.org/officeDocument/2006/relationships/hyperlink" Target="https://catalog.archives.gov/search?q=*:*&amp;f.ancestorNaIds=4051444&amp;sort=naIdSort%20asc" TargetMode="External"/><Relationship Id="rId736" Type="http://schemas.openxmlformats.org/officeDocument/2006/relationships/hyperlink" Target="https://search.ancestryinstitution.com/aird/search/db.aspx?dbid=9220" TargetMode="External"/><Relationship Id="rId1061" Type="http://schemas.openxmlformats.org/officeDocument/2006/relationships/hyperlink" Target="https://catalog.archives.gov/search?q=A4176&amp;f.ancestorNaIds=3174862&amp;sort=naIdSort%20asc" TargetMode="External"/><Relationship Id="rId1159" Type="http://schemas.openxmlformats.org/officeDocument/2006/relationships/hyperlink" Target="https://familysearch.org/search/collection/1932375" TargetMode="External"/><Relationship Id="rId1366" Type="http://schemas.openxmlformats.org/officeDocument/2006/relationships/hyperlink" Target="http://www.fold3.com/title_772/" TargetMode="External"/><Relationship Id="rId2112" Type="http://schemas.openxmlformats.org/officeDocument/2006/relationships/hyperlink" Target="https://search.ancestryinstitution.com/aird/search/db.aspx?dbid=60424" TargetMode="External"/><Relationship Id="rId2417" Type="http://schemas.openxmlformats.org/officeDocument/2006/relationships/hyperlink" Target="https://search.ancestryinstitution.com/aird/search/db.aspx?dbid=1850" TargetMode="External"/><Relationship Id="rId2764" Type="http://schemas.openxmlformats.org/officeDocument/2006/relationships/hyperlink" Target="https://search.ancestryinstitution.com/aird/search/db.aspx?dbid=2507" TargetMode="External"/><Relationship Id="rId2971" Type="http://schemas.openxmlformats.org/officeDocument/2006/relationships/hyperlink" Target="https://catalog.archives.gov/search?q=*:*&amp;f.ancestorNaIds=5710001&amp;sort=naIdSort%20asc" TargetMode="External"/><Relationship Id="rId943" Type="http://schemas.openxmlformats.org/officeDocument/2006/relationships/hyperlink" Target="https://search.ancestryinstitution.com/aird/search/db.aspx?dbid=8842" TargetMode="External"/><Relationship Id="rId1019" Type="http://schemas.openxmlformats.org/officeDocument/2006/relationships/hyperlink" Target="https://search.ancestryinstitution.com/aird/search/db.aspx?dbid=2257" TargetMode="External"/><Relationship Id="rId1573" Type="http://schemas.openxmlformats.org/officeDocument/2006/relationships/hyperlink" Target="https://search.ancestryinstitution.com/aird/search/db.aspx?dbid=1192" TargetMode="External"/><Relationship Id="rId1780" Type="http://schemas.openxmlformats.org/officeDocument/2006/relationships/hyperlink" Target="http://www.fold3.com/title_802/" TargetMode="External"/><Relationship Id="rId1878" Type="http://schemas.openxmlformats.org/officeDocument/2006/relationships/hyperlink" Target="https://catalog.archives.gov/search-within/300398?page=2&amp;q=record.microformPublications.identifier%3AM1820&amp;sort=title%3Aasc" TargetMode="External"/><Relationship Id="rId2624" Type="http://schemas.openxmlformats.org/officeDocument/2006/relationships/hyperlink" Target="https://catalog.archives.gov/search-within/2934408" TargetMode="External"/><Relationship Id="rId2831" Type="http://schemas.openxmlformats.org/officeDocument/2006/relationships/hyperlink" Target="https://www.familysearch.org/search/catalog/2827523?availability=Family%20History%20Library" TargetMode="External"/><Relationship Id="rId2929" Type="http://schemas.openxmlformats.org/officeDocument/2006/relationships/hyperlink" Target="https://catalog.archives.gov/search?q=*:*&amp;f.ancestorNaIds=5557837&amp;sort=naIdSort%20asc" TargetMode="External"/><Relationship Id="rId72" Type="http://schemas.openxmlformats.org/officeDocument/2006/relationships/hyperlink" Target="https://search.ancestryinstitution.com/aird/search/db.aspx?dbid=9220" TargetMode="External"/><Relationship Id="rId803" Type="http://schemas.openxmlformats.org/officeDocument/2006/relationships/hyperlink" Target="https://catalog.archives.gov/search?q=A3795&amp;f.ancestorNaIds=3525405&amp;sort=naIdSort%20asc" TargetMode="External"/><Relationship Id="rId1226" Type="http://schemas.openxmlformats.org/officeDocument/2006/relationships/hyperlink" Target="https://catalog.archives.gov/search?q=M384&amp;f.ancestorNaIds=300398&amp;sort=naIdSort%20asc" TargetMode="External"/><Relationship Id="rId1433" Type="http://schemas.openxmlformats.org/officeDocument/2006/relationships/hyperlink" Target="https://search.ancestryinstitution.com/aird/search/db.aspx?dbid=1264" TargetMode="External"/><Relationship Id="rId1640" Type="http://schemas.openxmlformats.org/officeDocument/2006/relationships/hyperlink" Target="https://catalog.archives.gov/search?q=*:*&amp;f.ancestorNaIds=1116809&amp;sort=naIdSort%20asc" TargetMode="External"/><Relationship Id="rId1738" Type="http://schemas.openxmlformats.org/officeDocument/2006/relationships/hyperlink" Target="https://catalog.archives.gov/search?q=*:*&amp;f.ancestorNaIds=3752042&amp;sort=naIdSort%20asc" TargetMode="External"/><Relationship Id="rId3093" Type="http://schemas.openxmlformats.org/officeDocument/2006/relationships/hyperlink" Target="http://familysearch.org/" TargetMode="External"/><Relationship Id="rId1500" Type="http://schemas.openxmlformats.org/officeDocument/2006/relationships/hyperlink" Target="https://www.fold3.com/title/455/photos-franklin-d-roosevelt" TargetMode="External"/><Relationship Id="rId1945" Type="http://schemas.openxmlformats.org/officeDocument/2006/relationships/hyperlink" Target="http://www.fold3.com/title_754/usaca_german_external_assets_branch/" TargetMode="External"/><Relationship Id="rId3160" Type="http://schemas.openxmlformats.org/officeDocument/2006/relationships/hyperlink" Target="https://search.ancestryinstitution.com/aird/search/db.aspx?dbid=1002" TargetMode="External"/><Relationship Id="rId1805" Type="http://schemas.openxmlformats.org/officeDocument/2006/relationships/hyperlink" Target="https://catalog.archives.gov/search?q=Fold3%20M1752&amp;f.level=fileunit&amp;f.recordGroupNoCollectionId=38&amp;f.oldScope=online" TargetMode="External"/><Relationship Id="rId3020" Type="http://schemas.openxmlformats.org/officeDocument/2006/relationships/hyperlink" Target="https://catalog.archives.gov/search?q=*:*&amp;f.ancestorNaIds=6012496&amp;sort=naIdSort%20asc" TargetMode="External"/><Relationship Id="rId3258" Type="http://schemas.openxmlformats.org/officeDocument/2006/relationships/hyperlink" Target="https://catalog.archives.gov/search?q=*:*&amp;f.ancestorNaIds=622809&amp;sort=naIdSort%20asc" TargetMode="External"/><Relationship Id="rId179" Type="http://schemas.openxmlformats.org/officeDocument/2006/relationships/hyperlink" Target="https://catalog.archives.gov/search-within/3432877?availableOnline=true&amp;sort=naId%3Aasc" TargetMode="External"/><Relationship Id="rId386" Type="http://schemas.openxmlformats.org/officeDocument/2006/relationships/hyperlink" Target="https://catalog.archives.gov/search?q=*:*&amp;f.ancestorNaIds=1560061&amp;sort=naIdSort%20asc" TargetMode="External"/><Relationship Id="rId593" Type="http://schemas.openxmlformats.org/officeDocument/2006/relationships/hyperlink" Target="https://catalog.archives.gov/search?q=*:*&amp;f.ancestorNaIds=2790468&amp;sort=naIdSort%20asc" TargetMode="External"/><Relationship Id="rId2067" Type="http://schemas.openxmlformats.org/officeDocument/2006/relationships/hyperlink" Target="https://search.ancestryinstitution.com/aird/search/db.aspx?dbid=1002" TargetMode="External"/><Relationship Id="rId2274" Type="http://schemas.openxmlformats.org/officeDocument/2006/relationships/hyperlink" Target="https://www.familysearch.org/search/catalog/2842205" TargetMode="External"/><Relationship Id="rId2481" Type="http://schemas.openxmlformats.org/officeDocument/2006/relationships/hyperlink" Target="https://catalog.archives.gov/search?q=*:*&amp;f.ancestorNaIds=2385492&amp;sort=naIdSort%20asc" TargetMode="External"/><Relationship Id="rId3118" Type="http://schemas.openxmlformats.org/officeDocument/2006/relationships/hyperlink" Target="http://familysearch.org/" TargetMode="External"/><Relationship Id="rId3325" Type="http://schemas.openxmlformats.org/officeDocument/2006/relationships/hyperlink" Target="https://search.ancestryinstitution.com/aird/search/db.aspx?dbid=2976" TargetMode="External"/><Relationship Id="rId246" Type="http://schemas.openxmlformats.org/officeDocument/2006/relationships/hyperlink" Target="https://catalog.archives.gov/search?q=*:*&amp;f.ancestorNaIds=641532&amp;sort=naIdSort%20asc" TargetMode="External"/><Relationship Id="rId453" Type="http://schemas.openxmlformats.org/officeDocument/2006/relationships/hyperlink" Target="https://search.ancestryinstitution.com/search/db.aspx?dbid=1082" TargetMode="External"/><Relationship Id="rId660" Type="http://schemas.openxmlformats.org/officeDocument/2006/relationships/hyperlink" Target="https://catalog.archives.gov/search?q=A3590&amp;f.ancestorNaIds=2789132&amp;sort=naIdSort%20asc" TargetMode="External"/><Relationship Id="rId898" Type="http://schemas.openxmlformats.org/officeDocument/2006/relationships/hyperlink" Target="https://search.ancestryinstitution.com/aird/search/db.aspx?dbid=8842" TargetMode="External"/><Relationship Id="rId1083" Type="http://schemas.openxmlformats.org/officeDocument/2006/relationships/hyperlink" Target="https://catalog.archives.gov/search?q=A4223&amp;f.ancestorNaIds=3783840&amp;sort=naIdSort%20asc" TargetMode="External"/><Relationship Id="rId1290" Type="http://schemas.openxmlformats.org/officeDocument/2006/relationships/hyperlink" Target="https://search.ancestryinstitution.com/aird/search/db.aspx?dbid=2344" TargetMode="External"/><Relationship Id="rId2134" Type="http://schemas.openxmlformats.org/officeDocument/2006/relationships/hyperlink" Target="https://search.ancestryinstitution.com/aird/search/db.aspx?dbid=2509" TargetMode="External"/><Relationship Id="rId2341" Type="http://schemas.openxmlformats.org/officeDocument/2006/relationships/hyperlink" Target="https://catalog.archives.gov/search?q=*:*&amp;f.ancestorNaIds=1226156&amp;sort=naIdSort%20asc" TargetMode="External"/><Relationship Id="rId2579" Type="http://schemas.openxmlformats.org/officeDocument/2006/relationships/hyperlink" Target="https://search.ancestryinstitution.com/aird/search/db.aspx?dbid=2509" TargetMode="External"/><Relationship Id="rId2786" Type="http://schemas.openxmlformats.org/officeDocument/2006/relationships/hyperlink" Target="https://search.ancestryinstitution.com/aird/search/db.aspx?dbid=2509" TargetMode="External"/><Relationship Id="rId2993" Type="http://schemas.openxmlformats.org/officeDocument/2006/relationships/hyperlink" Target="https://search.ancestryinstitution.com/aird/search/db.aspx?dbid=60593" TargetMode="External"/><Relationship Id="rId106" Type="http://schemas.openxmlformats.org/officeDocument/2006/relationships/hyperlink" Target="https://search.ancestryinstitution.com/aird/search/db.aspx?dbid=9126" TargetMode="External"/><Relationship Id="rId313" Type="http://schemas.openxmlformats.org/officeDocument/2006/relationships/hyperlink" Target="https://catalog.archives.gov/search?q=*:*&amp;f.ancestorNaIds=24720598" TargetMode="External"/><Relationship Id="rId758" Type="http://schemas.openxmlformats.org/officeDocument/2006/relationships/hyperlink" Target="https://catalog.archives.gov/search?q=A3707&amp;f.ancestorNaIds=2788988&amp;sort=naIdSort%20asc" TargetMode="External"/><Relationship Id="rId965" Type="http://schemas.openxmlformats.org/officeDocument/2006/relationships/hyperlink" Target="https://catalog.archives.gov/search?q=A4032&amp;f.ancestorNaIds=3164806&amp;sort=naIdSort%20asc" TargetMode="External"/><Relationship Id="rId1150" Type="http://schemas.openxmlformats.org/officeDocument/2006/relationships/hyperlink" Target="https://search.ancestryinstitution.com/aird/search/db.aspx?dbid=2322" TargetMode="External"/><Relationship Id="rId1388" Type="http://schemas.openxmlformats.org/officeDocument/2006/relationships/hyperlink" Target="https://search.ancestryinstitution.com/aird/search/db.aspx?dbid=2344" TargetMode="External"/><Relationship Id="rId1595" Type="http://schemas.openxmlformats.org/officeDocument/2006/relationships/hyperlink" Target="https://search.ancestryinstitution.com/aird/search/db.aspx?dbid=1192" TargetMode="External"/><Relationship Id="rId2439" Type="http://schemas.openxmlformats.org/officeDocument/2006/relationships/hyperlink" Target="https://familysearch.org/search/collection/1875142" TargetMode="External"/><Relationship Id="rId2646" Type="http://schemas.openxmlformats.org/officeDocument/2006/relationships/hyperlink" Target="https://familysearch.org/search/collection/2191222" TargetMode="External"/><Relationship Id="rId2853" Type="http://schemas.openxmlformats.org/officeDocument/2006/relationships/hyperlink" Target="https://catalog.archives.gov/search?q=*:*&amp;f.ancestorNaIds=4688362&amp;sort=naIdSort%20asc" TargetMode="External"/><Relationship Id="rId94" Type="http://schemas.openxmlformats.org/officeDocument/2006/relationships/hyperlink" Target="https://catalog.archives.gov/search-within/2843221?availableOnline=true&amp;sort=naId%3Aasc" TargetMode="External"/><Relationship Id="rId520" Type="http://schemas.openxmlformats.org/officeDocument/2006/relationships/hyperlink" Target="https://search.ancestryinstitution.com/aird/search/db.aspx?dbid=1075" TargetMode="External"/><Relationship Id="rId618" Type="http://schemas.openxmlformats.org/officeDocument/2006/relationships/hyperlink" Target="https://search.ancestryinstitution.com/aird/search/db.aspx?dbid=9220" TargetMode="External"/><Relationship Id="rId825" Type="http://schemas.openxmlformats.org/officeDocument/2006/relationships/hyperlink" Target="https://search.ancestryinstitution.com/aird/search/db.aspx?dbid=9112" TargetMode="External"/><Relationship Id="rId1248" Type="http://schemas.openxmlformats.org/officeDocument/2006/relationships/hyperlink" Target="https://www.fold3.com/title/44/civil-war-service-records-cmsr-union-arkansas" TargetMode="External"/><Relationship Id="rId1455" Type="http://schemas.openxmlformats.org/officeDocument/2006/relationships/hyperlink" Target="https://familysearch.org/search/collection/2075263" TargetMode="External"/><Relationship Id="rId1662" Type="http://schemas.openxmlformats.org/officeDocument/2006/relationships/hyperlink" Target="https://www.fold3.com/title/476/state-dept-records-france" TargetMode="External"/><Relationship Id="rId2201" Type="http://schemas.openxmlformats.org/officeDocument/2006/relationships/hyperlink" Target="https://search.ancestryinstitution.com/aird/search/db.aspx?dbid=2163" TargetMode="External"/><Relationship Id="rId2506" Type="http://schemas.openxmlformats.org/officeDocument/2006/relationships/hyperlink" Target="https://search.ancestryinstitution.com/aird/search/db.aspx?dbid=2505" TargetMode="External"/><Relationship Id="rId1010" Type="http://schemas.openxmlformats.org/officeDocument/2006/relationships/hyperlink" Target="https://catalog.archives.gov/search?q=A4089&amp;f.ancestorNaIds=2996074&amp;sort=naIdSort%20asc" TargetMode="External"/><Relationship Id="rId1108" Type="http://schemas.openxmlformats.org/officeDocument/2006/relationships/hyperlink" Target="https://catalog.archives.gov/search?q=1801187%20or%201740818&amp;f.level=series" TargetMode="External"/><Relationship Id="rId1315" Type="http://schemas.openxmlformats.org/officeDocument/2006/relationships/hyperlink" Target="http://www.fold3.com/title_819/" TargetMode="External"/><Relationship Id="rId1967" Type="http://schemas.openxmlformats.org/officeDocument/2006/relationships/hyperlink" Target="https://familysearch.org/search/collection/1825347" TargetMode="External"/><Relationship Id="rId2713" Type="http://schemas.openxmlformats.org/officeDocument/2006/relationships/hyperlink" Target="https://search.ancestryinstitution.com/aird/search/db.aspx?dbid=2508" TargetMode="External"/><Relationship Id="rId2920" Type="http://schemas.openxmlformats.org/officeDocument/2006/relationships/hyperlink" Target="https://familysearch.org/search/collection/2064580" TargetMode="External"/><Relationship Id="rId1522" Type="http://schemas.openxmlformats.org/officeDocument/2006/relationships/hyperlink" Target="https://familysearch.org/search/collection/2070137" TargetMode="External"/><Relationship Id="rId21" Type="http://schemas.openxmlformats.org/officeDocument/2006/relationships/hyperlink" Target="https://catalog.archives.gov/search-within/2857355?availableOnline=true&amp;sort=naId%3Aasc" TargetMode="External"/><Relationship Id="rId2089" Type="http://schemas.openxmlformats.org/officeDocument/2006/relationships/hyperlink" Target="https://catalog.archives.gov/search?q=*:*&amp;f.ancestorNaIds=572203&amp;sort=naIdSort%20asc" TargetMode="External"/><Relationship Id="rId2296" Type="http://schemas.openxmlformats.org/officeDocument/2006/relationships/hyperlink" Target="https://search.ancestryinstitution.com/aird/search/db.aspx?dbid=2500" TargetMode="External"/><Relationship Id="rId3347" Type="http://schemas.openxmlformats.org/officeDocument/2006/relationships/hyperlink" Target="https://search.ancestryinstitution.com/aird/search/db.aspx?dbid=61191" TargetMode="External"/><Relationship Id="rId268" Type="http://schemas.openxmlformats.org/officeDocument/2006/relationships/hyperlink" Target="https://catalog.archives.gov/search?q=*:*&amp;f.ancestorNaIds=2165751" TargetMode="External"/><Relationship Id="rId475" Type="http://schemas.openxmlformats.org/officeDocument/2006/relationships/hyperlink" Target="https://catalog.archives.gov/search?q=*:*&amp;f.ancestorNaIds=4506369&amp;sort=naIdSort%20asc" TargetMode="External"/><Relationship Id="rId682" Type="http://schemas.openxmlformats.org/officeDocument/2006/relationships/hyperlink" Target="https://catalog.archives.gov/search?q=A3608&amp;f.ancestorNaIds=2674785" TargetMode="External"/><Relationship Id="rId2156" Type="http://schemas.openxmlformats.org/officeDocument/2006/relationships/hyperlink" Target="https://search.ancestryinstitution.com/aird/search/db.aspx?dbid=1002" TargetMode="External"/><Relationship Id="rId2363" Type="http://schemas.openxmlformats.org/officeDocument/2006/relationships/hyperlink" Target="https://catalog.archives.gov/search?q=*:*&amp;f.ancestorNaIds=1252002&amp;sort=naIdSort%20asc" TargetMode="External"/><Relationship Id="rId2570" Type="http://schemas.openxmlformats.org/officeDocument/2006/relationships/hyperlink" Target="https://search.ancestryinstitution.com/aird/search/db.aspx?dbid=2502" TargetMode="External"/><Relationship Id="rId3207" Type="http://schemas.openxmlformats.org/officeDocument/2006/relationships/hyperlink" Target="https://catalog.archives.gov/search?q=*:*&amp;f.ancestorNaIds=66799047&amp;sort=naIdSort%20asc" TargetMode="External"/><Relationship Id="rId128" Type="http://schemas.openxmlformats.org/officeDocument/2006/relationships/hyperlink" Target="https://search.ancestryinstitution.com/aird/search/db.aspx?dbid=9220" TargetMode="External"/><Relationship Id="rId335" Type="http://schemas.openxmlformats.org/officeDocument/2006/relationships/hyperlink" Target="https://catalog.archives.gov/search?q=*:*&amp;f.ancestorNaIds=24738389" TargetMode="External"/><Relationship Id="rId542" Type="http://schemas.openxmlformats.org/officeDocument/2006/relationships/hyperlink" Target="https://catalog.archives.gov/search?q=*:*&amp;f.ancestorNaIds=3968747&amp;sort=naIdSort%20asc" TargetMode="External"/><Relationship Id="rId1172" Type="http://schemas.openxmlformats.org/officeDocument/2006/relationships/hyperlink" Target="https://search.ancestryinstitution.com/aird/search/db.aspx?dbid=2058" TargetMode="External"/><Relationship Id="rId2016" Type="http://schemas.openxmlformats.org/officeDocument/2006/relationships/hyperlink" Target="https://familysearch.org/search/collection/2141014" TargetMode="External"/><Relationship Id="rId2223" Type="http://schemas.openxmlformats.org/officeDocument/2006/relationships/hyperlink" Target="https://search.ancestryinstitution.com/aird/search/db.aspx?dbid=2507" TargetMode="External"/><Relationship Id="rId2430" Type="http://schemas.openxmlformats.org/officeDocument/2006/relationships/hyperlink" Target="https://search.ancestryinstitution.com/aird/search/db.aspx?dbid=1850" TargetMode="External"/><Relationship Id="rId402" Type="http://schemas.openxmlformats.org/officeDocument/2006/relationships/hyperlink" Target="https://catalog.archives.gov/search?q=*:*&amp;f.ancestorNaIds=4492718&amp;sort=naIdSort%20asc" TargetMode="External"/><Relationship Id="rId1032" Type="http://schemas.openxmlformats.org/officeDocument/2006/relationships/hyperlink" Target="https://ancestry.com/" TargetMode="External"/><Relationship Id="rId1989" Type="http://schemas.openxmlformats.org/officeDocument/2006/relationships/hyperlink" Target="https://search.ancestryinstitution.com/aird/search/db.aspx?dbid=1107" TargetMode="External"/><Relationship Id="rId1849" Type="http://schemas.openxmlformats.org/officeDocument/2006/relationships/hyperlink" Target="https://www.fold3.com/title/53/civil-war-service-records-cmsr-union-nebraska" TargetMode="External"/><Relationship Id="rId3064" Type="http://schemas.openxmlformats.org/officeDocument/2006/relationships/hyperlink" Target="https://search.ancestryinstitution.com/aird/search/db.aspx?dbid=1850" TargetMode="External"/><Relationship Id="rId192" Type="http://schemas.openxmlformats.org/officeDocument/2006/relationships/hyperlink" Target="https://catalog.archives.gov/search?levelOfDescription=fileUnit&amp;q=M654%20Gen.%20James%20Wilkinson%27s%20Order%20Book%2C&amp;recordGroupNumber=94" TargetMode="External"/><Relationship Id="rId1709" Type="http://schemas.openxmlformats.org/officeDocument/2006/relationships/hyperlink" Target="https://search.ancestryinstitution.com/aird/search/db.aspx?dbid=1554" TargetMode="External"/><Relationship Id="rId1916" Type="http://schemas.openxmlformats.org/officeDocument/2006/relationships/hyperlink" Target="https://www.fold3.com/title/114/naturalizations-ny-eastern" TargetMode="External"/><Relationship Id="rId3271" Type="http://schemas.openxmlformats.org/officeDocument/2006/relationships/hyperlink" Target="https://fraser.stlouisfed.org/archival-collection/records-women-s-bureau-5963" TargetMode="External"/><Relationship Id="rId2080" Type="http://schemas.openxmlformats.org/officeDocument/2006/relationships/hyperlink" Target="https://search.ancestryinstitution.com/search/db.aspx?dbid=34594" TargetMode="External"/><Relationship Id="rId3131" Type="http://schemas.openxmlformats.org/officeDocument/2006/relationships/hyperlink" Target="https://catalog.archives.gov/search?q=*:*&amp;f.ancestorNaIds=7644721&amp;sort=naIdSort%20asc" TargetMode="External"/><Relationship Id="rId2897" Type="http://schemas.openxmlformats.org/officeDocument/2006/relationships/hyperlink" Target="https://search.ancestryinstitution.com/aird/search/db.aspx?dbid=2507" TargetMode="External"/><Relationship Id="rId869" Type="http://schemas.openxmlformats.org/officeDocument/2006/relationships/hyperlink" Target="https://catalog.archives.gov/search?q=A3914&amp;f.ancestorNaIds=3244836&amp;sort=naIdSort%20asc" TargetMode="External"/><Relationship Id="rId1499" Type="http://schemas.openxmlformats.org/officeDocument/2006/relationships/hyperlink" Target="https://familysearch.org/search/collection/1987567" TargetMode="External"/><Relationship Id="rId729" Type="http://schemas.openxmlformats.org/officeDocument/2006/relationships/hyperlink" Target="https://search.ancestryinstitution.com/aird/search/db.aspx?dbid=9128" TargetMode="External"/><Relationship Id="rId1359" Type="http://schemas.openxmlformats.org/officeDocument/2006/relationships/hyperlink" Target="https://search.ancestryinstitution.com/aird/search/db.aspx?dbid=1571" TargetMode="External"/><Relationship Id="rId2757" Type="http://schemas.openxmlformats.org/officeDocument/2006/relationships/hyperlink" Target="https://search.ancestryinstitution.com/aird/search/db.aspx?dbid=2507" TargetMode="External"/><Relationship Id="rId2964" Type="http://schemas.openxmlformats.org/officeDocument/2006/relationships/hyperlink" Target="https://familysearch.org/search/collection/2137708" TargetMode="External"/><Relationship Id="rId936" Type="http://schemas.openxmlformats.org/officeDocument/2006/relationships/hyperlink" Target="https://catalog.archives.gov/search?q=*:*&amp;f.ancestorNaIds=2774919&amp;sort=naIdSort%20asc" TargetMode="External"/><Relationship Id="rId1219" Type="http://schemas.openxmlformats.org/officeDocument/2006/relationships/hyperlink" Target="https://catalog.archives.gov/search?q=M367&amp;f.ancestorNaIds=302021" TargetMode="External"/><Relationship Id="rId1566" Type="http://schemas.openxmlformats.org/officeDocument/2006/relationships/hyperlink" Target="https://www.ancestryinstitution.com/search/collections/1242/" TargetMode="External"/><Relationship Id="rId1773" Type="http://schemas.openxmlformats.org/officeDocument/2006/relationships/hyperlink" Target="https://search.ancestryinstitution.com/aird/search/db.aspx?dbid=1192" TargetMode="External"/><Relationship Id="rId1980" Type="http://schemas.openxmlformats.org/officeDocument/2006/relationships/hyperlink" Target="https://familysearch.org/search/collection/2299368" TargetMode="External"/><Relationship Id="rId2617" Type="http://schemas.openxmlformats.org/officeDocument/2006/relationships/hyperlink" Target="https://www.familysearch.org/wiki/en/Puerto_Rico,_Naturalization_Records_-_FamilySearch_Historical_Records" TargetMode="External"/><Relationship Id="rId2824" Type="http://schemas.openxmlformats.org/officeDocument/2006/relationships/hyperlink" Target="https://search.ancestryinstitution.com/aird/search/db.aspx?dbid=2512" TargetMode="External"/><Relationship Id="rId65" Type="http://schemas.openxmlformats.org/officeDocument/2006/relationships/hyperlink" Target="https://catalog.archives.gov/search-within/2839363?availableOnline=true&amp;sort=naId%3Aasc" TargetMode="External"/><Relationship Id="rId1426" Type="http://schemas.openxmlformats.org/officeDocument/2006/relationships/hyperlink" Target="https://familysearch.org/search/collection/2075263" TargetMode="External"/><Relationship Id="rId1633" Type="http://schemas.openxmlformats.org/officeDocument/2006/relationships/hyperlink" Target="https://catalog.archives.gov/search?q=M1387&amp;f.ancestorNaIds=4499531" TargetMode="External"/><Relationship Id="rId1840" Type="http://schemas.openxmlformats.org/officeDocument/2006/relationships/hyperlink" Target="https://catalog.archives.gov/search?q=M1782&amp;f.level=fileunit&amp;f.recordGroupNoCollectionId=239" TargetMode="External"/><Relationship Id="rId1700" Type="http://schemas.openxmlformats.org/officeDocument/2006/relationships/hyperlink" Target="https://familysearch.org/search/collection/1968530" TargetMode="External"/><Relationship Id="rId379" Type="http://schemas.openxmlformats.org/officeDocument/2006/relationships/hyperlink" Target="https://search.ancestryinstitution.com/search/db.aspx?dbid=1959" TargetMode="External"/><Relationship Id="rId586" Type="http://schemas.openxmlformats.org/officeDocument/2006/relationships/hyperlink" Target="https://search.ancestryinstitution.com/aird/search/db.aspx?dbid=8722" TargetMode="External"/><Relationship Id="rId793" Type="http://schemas.openxmlformats.org/officeDocument/2006/relationships/hyperlink" Target="https://catalog.archives.gov/search?q=A3769&amp;f.ancestorNaIds=2825761&amp;sort=naIdSort%20asc" TargetMode="External"/><Relationship Id="rId2267" Type="http://schemas.openxmlformats.org/officeDocument/2006/relationships/hyperlink" Target="https://catalog.archives.gov/search?q=*:*&amp;f.ancestorNaIds=785956&amp;sort=naIdSort%20asc&amp;f.level=fileunit" TargetMode="External"/><Relationship Id="rId2474" Type="http://schemas.openxmlformats.org/officeDocument/2006/relationships/hyperlink" Target="https://search.ancestryinstitution.com/aird/search/db.aspx?dbid=2503" TargetMode="External"/><Relationship Id="rId2681" Type="http://schemas.openxmlformats.org/officeDocument/2006/relationships/hyperlink" Target="https://search.ancestryinstitution.com/aird/search/db.aspx?dbid=2500" TargetMode="External"/><Relationship Id="rId3318" Type="http://schemas.openxmlformats.org/officeDocument/2006/relationships/hyperlink" Target="https://www.ancestry.com/search/collections/2507/" TargetMode="External"/><Relationship Id="rId239" Type="http://schemas.openxmlformats.org/officeDocument/2006/relationships/hyperlink" Target="https://catalog.archives.gov/search?q=*:*&amp;f.ancestorNaIds=608846" TargetMode="External"/><Relationship Id="rId446" Type="http://schemas.openxmlformats.org/officeDocument/2006/relationships/hyperlink" Target="https://search.ancestryinstitution.com/search/db.aspx?dbid=1277" TargetMode="External"/><Relationship Id="rId653" Type="http://schemas.openxmlformats.org/officeDocument/2006/relationships/hyperlink" Target="https://catalog.archives.gov/search?q=A3580&amp;f.ancestorNaIds=2790556" TargetMode="External"/><Relationship Id="rId1076" Type="http://schemas.openxmlformats.org/officeDocument/2006/relationships/hyperlink" Target="https://search.ancestryinstitution.com/aird/search/db.aspx?dbid=9220" TargetMode="External"/><Relationship Id="rId1283" Type="http://schemas.openxmlformats.org/officeDocument/2006/relationships/hyperlink" Target="https://familysearch.org/search/collection/1420440" TargetMode="External"/><Relationship Id="rId1490" Type="http://schemas.openxmlformats.org/officeDocument/2006/relationships/hyperlink" Target="https://search.ancestryinstitution.com/aird/search/db.aspx?dbid=7605" TargetMode="External"/><Relationship Id="rId2127" Type="http://schemas.openxmlformats.org/officeDocument/2006/relationships/hyperlink" Target="https://search.ancestryinstitution.com/aird/search/db.aspx?dbid=2509" TargetMode="External"/><Relationship Id="rId2334" Type="http://schemas.openxmlformats.org/officeDocument/2006/relationships/hyperlink" Target="https://catalog.archives.gov/search?q=*:*&amp;f.ancestorNaIds=1157734&amp;sort=naIdSort%20asc" TargetMode="External"/><Relationship Id="rId306" Type="http://schemas.openxmlformats.org/officeDocument/2006/relationships/hyperlink" Target="https://catalog.archives.gov/search?q=*:*&amp;f.ancestorNaIds=7820428&amp;sort=naIdSort%20asc" TargetMode="External"/><Relationship Id="rId860" Type="http://schemas.openxmlformats.org/officeDocument/2006/relationships/hyperlink" Target="https://catalog.archives.gov/search?q=A3883&amp;f.ancestorNaIds=2789524&amp;sort=naIdSort%20asc" TargetMode="External"/><Relationship Id="rId1143" Type="http://schemas.openxmlformats.org/officeDocument/2006/relationships/hyperlink" Target="https://search.ancestryinstitution.com/aird/search/db.aspx?dbid=1203" TargetMode="External"/><Relationship Id="rId2541" Type="http://schemas.openxmlformats.org/officeDocument/2006/relationships/hyperlink" Target="https://search.ancestryinstitution.com/aird/search/db.aspx?dbid=2503" TargetMode="External"/><Relationship Id="rId513" Type="http://schemas.openxmlformats.org/officeDocument/2006/relationships/hyperlink" Target="https://catalog.archives.gov/search?q=*:*&amp;f.ancestorNaIds=4477073&amp;sort=naIdSort%20asc" TargetMode="External"/><Relationship Id="rId720" Type="http://schemas.openxmlformats.org/officeDocument/2006/relationships/hyperlink" Target="https://search.ancestryinstitution.com/aird/search/db.aspx?dbid=8842" TargetMode="External"/><Relationship Id="rId1350" Type="http://schemas.openxmlformats.org/officeDocument/2006/relationships/hyperlink" Target="https://catalog.archives.gov/search?q=M602&amp;f.ancestorNaIds=654501" TargetMode="External"/><Relationship Id="rId2401" Type="http://schemas.openxmlformats.org/officeDocument/2006/relationships/hyperlink" Target="https://search.ancestryinstitution.com/aird/search/db.aspx?dbid=2501" TargetMode="External"/><Relationship Id="rId1003" Type="http://schemas.openxmlformats.org/officeDocument/2006/relationships/hyperlink" Target="https://search.ancestryinstitution.com/aird/search/db.aspx?dbid=60579" TargetMode="External"/><Relationship Id="rId1210" Type="http://schemas.openxmlformats.org/officeDocument/2006/relationships/hyperlink" Target="http://www.fold3.com/title_782/" TargetMode="External"/><Relationship Id="rId3175" Type="http://schemas.openxmlformats.org/officeDocument/2006/relationships/hyperlink" Target="https://search.ancestryinstitution.com/aird/search/db.aspx?dbid=2238" TargetMode="External"/><Relationship Id="rId3382" Type="http://schemas.openxmlformats.org/officeDocument/2006/relationships/hyperlink" Target="https://catalog.archives.gov/search?q=*:*&amp;f.ancestorNaIds=597821&amp;sort=naIdSort%20asc" TargetMode="External"/><Relationship Id="rId2191" Type="http://schemas.openxmlformats.org/officeDocument/2006/relationships/hyperlink" Target="https://search.ancestryinstitution.com/aird/search/db.aspx?dbid=3998" TargetMode="External"/><Relationship Id="rId3035" Type="http://schemas.openxmlformats.org/officeDocument/2006/relationships/hyperlink" Target="https://catalog.archives.gov/search-within/6037958" TargetMode="External"/><Relationship Id="rId3242" Type="http://schemas.openxmlformats.org/officeDocument/2006/relationships/hyperlink" Target="https://catalog.archives.gov/search?q=*:*&amp;f.ancestorNaIds=82783439&amp;sort=naIdSort%20asc" TargetMode="External"/><Relationship Id="rId163" Type="http://schemas.openxmlformats.org/officeDocument/2006/relationships/hyperlink" Target="https://search.ancestryinstitution.com/aird/search/db.aspx?dbid=2257" TargetMode="External"/><Relationship Id="rId370" Type="http://schemas.openxmlformats.org/officeDocument/2006/relationships/hyperlink" Target="https://search.ancestryinstitution.com/search/db.aspx?dbid=2250" TargetMode="External"/><Relationship Id="rId2051" Type="http://schemas.openxmlformats.org/officeDocument/2006/relationships/hyperlink" Target="http://www.footnote.com/title_457/" TargetMode="External"/><Relationship Id="rId3102" Type="http://schemas.openxmlformats.org/officeDocument/2006/relationships/hyperlink" Target="http://familysearch.org/" TargetMode="External"/><Relationship Id="rId230" Type="http://schemas.openxmlformats.org/officeDocument/2006/relationships/hyperlink" Target="http://www.footnote.com/title_867/" TargetMode="External"/><Relationship Id="rId2868" Type="http://schemas.openxmlformats.org/officeDocument/2006/relationships/hyperlink" Target="https://catalog.archives.gov/search?q=*:*&amp;f.ancestorNaIds=4693990&amp;sort=titleSort%20asc" TargetMode="External"/><Relationship Id="rId1677" Type="http://schemas.openxmlformats.org/officeDocument/2006/relationships/hyperlink" Target="https://familysearch.org/search/collection/2072742" TargetMode="External"/><Relationship Id="rId1884" Type="http://schemas.openxmlformats.org/officeDocument/2006/relationships/hyperlink" Target="https://search.ancestry.com/search/db.aspx?dbid=1107" TargetMode="External"/><Relationship Id="rId2728" Type="http://schemas.openxmlformats.org/officeDocument/2006/relationships/hyperlink" Target="https://catalog.archives.gov/search-within/4486924" TargetMode="External"/><Relationship Id="rId2935" Type="http://schemas.openxmlformats.org/officeDocument/2006/relationships/hyperlink" Target="https://www.familysearch.org/wiki/en/New_Hampshire_Taxation" TargetMode="External"/><Relationship Id="rId907" Type="http://schemas.openxmlformats.org/officeDocument/2006/relationships/hyperlink" Target="https://catalog.archives.gov/search?q=A3957&amp;f.ancestorNaIds=2843146" TargetMode="External"/><Relationship Id="rId1537" Type="http://schemas.openxmlformats.org/officeDocument/2006/relationships/hyperlink" Target="https://search.ancestryinstitution.com/aird/search/db.aspx?dbid=1187" TargetMode="External"/><Relationship Id="rId1744" Type="http://schemas.openxmlformats.org/officeDocument/2006/relationships/hyperlink" Target="https://search.ancestryinstitution.com/search/db.aspx?dbid=3998" TargetMode="External"/><Relationship Id="rId1951" Type="http://schemas.openxmlformats.org/officeDocument/2006/relationships/hyperlink" Target="https://www.fold3.com/title/629/dachau-entry-registers" TargetMode="External"/><Relationship Id="rId36" Type="http://schemas.openxmlformats.org/officeDocument/2006/relationships/hyperlink" Target="https://catalog.archives.gov/search-within/2945502?availableOnline=true&amp;sort=naId%3Aasc" TargetMode="External"/><Relationship Id="rId1604" Type="http://schemas.openxmlformats.org/officeDocument/2006/relationships/hyperlink" Target="https://www.fold3.com/title/121/navy-widows-certificates/description" TargetMode="External"/><Relationship Id="rId1811" Type="http://schemas.openxmlformats.org/officeDocument/2006/relationships/hyperlink" Target="https://familysearch.org/search/collection/1916041" TargetMode="External"/><Relationship Id="rId697" Type="http://schemas.openxmlformats.org/officeDocument/2006/relationships/hyperlink" Target="https://catalog.archives.gov/search?q=A3619&amp;f.ancestorNaIds=2788930&amp;sort=naIdSort%20asc" TargetMode="External"/><Relationship Id="rId2378" Type="http://schemas.openxmlformats.org/officeDocument/2006/relationships/hyperlink" Target="https://catalog.archives.gov/search?q=*:*&amp;f.ancestorNaIds=1262809&amp;sort=naIdSort%20asc" TargetMode="External"/><Relationship Id="rId1187" Type="http://schemas.openxmlformats.org/officeDocument/2006/relationships/hyperlink" Target="https://www.fold3.com/title/33/civil-war-service-records-cmsr-confederate-louisiana" TargetMode="External"/><Relationship Id="rId2585" Type="http://schemas.openxmlformats.org/officeDocument/2006/relationships/hyperlink" Target="https://familysearch.org/search/collection/2174938" TargetMode="External"/><Relationship Id="rId2792" Type="http://schemas.openxmlformats.org/officeDocument/2006/relationships/hyperlink" Target="https://search.ancestryinstitution.com/aird/search/db.aspx?dbid=2509" TargetMode="External"/><Relationship Id="rId557" Type="http://schemas.openxmlformats.org/officeDocument/2006/relationships/hyperlink" Target="https://catalog.archives.gov/search?q=*:*&amp;f.ancestorNaIds=4644607&amp;sort=naIdSort%20asc" TargetMode="External"/><Relationship Id="rId764" Type="http://schemas.openxmlformats.org/officeDocument/2006/relationships/hyperlink" Target="https://catalog.archives.gov/search?q=A3719&amp;f.ancestorNaIds=2735546&amp;sort=naIdSort%20asc" TargetMode="External"/><Relationship Id="rId971" Type="http://schemas.openxmlformats.org/officeDocument/2006/relationships/hyperlink" Target="https://ancestry.com/" TargetMode="External"/><Relationship Id="rId1394" Type="http://schemas.openxmlformats.org/officeDocument/2006/relationships/hyperlink" Target="https://familysearch.org/search/collection/2432992" TargetMode="External"/><Relationship Id="rId2238" Type="http://schemas.openxmlformats.org/officeDocument/2006/relationships/hyperlink" Target="https://catalog.archives.gov/search?q=*:*&amp;f.ancestorNaIds=656701&amp;sort=naIdSort%20asc&amp;f.level=fileunit" TargetMode="External"/><Relationship Id="rId2445" Type="http://schemas.openxmlformats.org/officeDocument/2006/relationships/hyperlink" Target="https://catalog.archives.gov/search?q=*:*&amp;f.ancestorNaIds=2169790&amp;sort=naIdSort%20asc" TargetMode="External"/><Relationship Id="rId2652" Type="http://schemas.openxmlformats.org/officeDocument/2006/relationships/hyperlink" Target="https://familysearch.org/search/collection/2191222" TargetMode="External"/><Relationship Id="rId417" Type="http://schemas.openxmlformats.org/officeDocument/2006/relationships/hyperlink" Target="https://catalog.archives.gov/search?q=*:*&amp;f.ancestorNaIds=4493348&amp;sort=naIdSort%20asc" TargetMode="External"/><Relationship Id="rId624" Type="http://schemas.openxmlformats.org/officeDocument/2006/relationships/hyperlink" Target="https://search.ancestryinstitution.com/aird/search/db.aspx?dbid=9118" TargetMode="External"/><Relationship Id="rId831" Type="http://schemas.openxmlformats.org/officeDocument/2006/relationships/hyperlink" Target="https://ancestry.com/" TargetMode="External"/><Relationship Id="rId1047" Type="http://schemas.openxmlformats.org/officeDocument/2006/relationships/hyperlink" Target="https://catalog.archives.gov/search?q=A4154&amp;f.ancestorNaIds=3231885&amp;sort=naIdSort%20asc" TargetMode="External"/><Relationship Id="rId1254" Type="http://schemas.openxmlformats.org/officeDocument/2006/relationships/hyperlink" Target="https://familysearch.org/search/collection/1932395" TargetMode="External"/><Relationship Id="rId1461" Type="http://schemas.openxmlformats.org/officeDocument/2006/relationships/hyperlink" Target="https://familysearch.org/search/collection/2075263" TargetMode="External"/><Relationship Id="rId2305" Type="http://schemas.openxmlformats.org/officeDocument/2006/relationships/hyperlink" Target="https://familysearch.org/search/collection/2173973" TargetMode="External"/><Relationship Id="rId2512" Type="http://schemas.openxmlformats.org/officeDocument/2006/relationships/hyperlink" Target="https://search.ancestryinstitution.com/aird/search/db.aspx?dbid=2503" TargetMode="External"/><Relationship Id="rId1114" Type="http://schemas.openxmlformats.org/officeDocument/2006/relationships/hyperlink" Target="http://www.fold3.com/title_468/revolutionary_war_prize_cases_captured/" TargetMode="External"/><Relationship Id="rId1321" Type="http://schemas.openxmlformats.org/officeDocument/2006/relationships/hyperlink" Target="http://www.footnote.com/title_792/" TargetMode="External"/><Relationship Id="rId3079" Type="http://schemas.openxmlformats.org/officeDocument/2006/relationships/hyperlink" Target="https://search.ancestryinstitution.com/aird/search/db.aspx?dbid=2507" TargetMode="External"/><Relationship Id="rId3286" Type="http://schemas.openxmlformats.org/officeDocument/2006/relationships/hyperlink" Target="https://aad.archives.gov/aad/fielded-search.jsp?dt=2126&amp;tf=F&amp;cat=SB2560&amp;bc=sb,sl" TargetMode="External"/><Relationship Id="rId2095" Type="http://schemas.openxmlformats.org/officeDocument/2006/relationships/hyperlink" Target="https://search.ancestryinstitution.com/aird/search/db.aspx?dbid=2509" TargetMode="External"/><Relationship Id="rId3146" Type="http://schemas.openxmlformats.org/officeDocument/2006/relationships/hyperlink" Target="https://search.ancestryinstitution.com/aird/search/db.aspx?dbid=2238" TargetMode="External"/><Relationship Id="rId3353" Type="http://schemas.openxmlformats.org/officeDocument/2006/relationships/hyperlink" Target="https://www.ancestryinstitution.com/search/collections/7484/" TargetMode="External"/><Relationship Id="rId274" Type="http://schemas.openxmlformats.org/officeDocument/2006/relationships/hyperlink" Target="https://catalog.archives.gov/search?q=*:*&amp;f.ancestorNaIds=2261242" TargetMode="External"/><Relationship Id="rId481" Type="http://schemas.openxmlformats.org/officeDocument/2006/relationships/hyperlink" Target="https://search.ancestryinstitution.com/aird/search/db.aspx?dbid=2257" TargetMode="External"/><Relationship Id="rId2162" Type="http://schemas.openxmlformats.org/officeDocument/2006/relationships/hyperlink" Target="https://catalog.archives.gov/search-within/602278" TargetMode="External"/><Relationship Id="rId3006" Type="http://schemas.openxmlformats.org/officeDocument/2006/relationships/hyperlink" Target="https://catalog.archives.gov/search?q=*:*&amp;f.ancestorNaIds=5833879&amp;sort=naIdSort%20asc" TargetMode="External"/><Relationship Id="rId134" Type="http://schemas.openxmlformats.org/officeDocument/2006/relationships/hyperlink" Target="https://search.ancestryinstitution.com/search/db.aspx?dbid=8722" TargetMode="External"/><Relationship Id="rId3213" Type="http://schemas.openxmlformats.org/officeDocument/2006/relationships/hyperlink" Target="https://catalog.archives.gov/search?q=*:*&amp;f.ancestorNaIds=75718065&amp;sort=naIdSort%20asc" TargetMode="External"/><Relationship Id="rId341" Type="http://schemas.openxmlformats.org/officeDocument/2006/relationships/hyperlink" Target="https://catalog.archives.gov/search?q=*:*&amp;f.ancestorNaIds=83740223&amp;sort=naIdSort%20asc" TargetMode="External"/><Relationship Id="rId2022" Type="http://schemas.openxmlformats.org/officeDocument/2006/relationships/hyperlink" Target="https://familysearch.org/search/collection/1916249" TargetMode="External"/><Relationship Id="rId2979" Type="http://schemas.openxmlformats.org/officeDocument/2006/relationships/hyperlink" Target="https://catalog.archives.gov/search?q=*:*&amp;f.ancestorNaIds=5716680&amp;sort=naIdSort%20asc" TargetMode="External"/><Relationship Id="rId201" Type="http://schemas.openxmlformats.org/officeDocument/2006/relationships/hyperlink" Target="https://search.ancestryinstitution.com/aird/search/db.aspx?dbid=8945" TargetMode="External"/><Relationship Id="rId1788" Type="http://schemas.openxmlformats.org/officeDocument/2006/relationships/hyperlink" Target="https://catalog.archives.gov/search?q=*:*&amp;f.ancestorNaIds=4757903&amp;sort=naIdSort%20asc" TargetMode="External"/><Relationship Id="rId1995" Type="http://schemas.openxmlformats.org/officeDocument/2006/relationships/hyperlink" Target="https://catalog.archives.gov/search-within/300398?page=2&amp;q=record.microformPublications.identifier%3AM2000&amp;sort=naId%3Aasc" TargetMode="External"/><Relationship Id="rId2839" Type="http://schemas.openxmlformats.org/officeDocument/2006/relationships/hyperlink" Target="https://catalog.archives.gov/search?q=*:*&amp;f.ancestorNaIds=4667733&amp;sort=naIdSort%20asc" TargetMode="External"/><Relationship Id="rId1648" Type="http://schemas.openxmlformats.org/officeDocument/2006/relationships/hyperlink" Target="https://familysearch.org/search/collection/1916078" TargetMode="External"/><Relationship Id="rId1508" Type="http://schemas.openxmlformats.org/officeDocument/2006/relationships/hyperlink" Target="https://familysearch.org/search/collection/1919583" TargetMode="External"/><Relationship Id="rId1855" Type="http://schemas.openxmlformats.org/officeDocument/2006/relationships/hyperlink" Target="https://search.ancestryinstitution.com/aird/search/db.aspx?dbid=2344" TargetMode="External"/><Relationship Id="rId2906" Type="http://schemas.openxmlformats.org/officeDocument/2006/relationships/hyperlink" Target="https://search.ancestryinstitution.com/aird/search/db.aspx?dbid=2507" TargetMode="External"/><Relationship Id="rId3070" Type="http://schemas.openxmlformats.org/officeDocument/2006/relationships/hyperlink" Target="https://familysearch.org/search/collection/2613134" TargetMode="External"/><Relationship Id="rId1715" Type="http://schemas.openxmlformats.org/officeDocument/2006/relationships/hyperlink" Target="https://familysearch.org/search/collection/1840471" TargetMode="External"/><Relationship Id="rId1922" Type="http://schemas.openxmlformats.org/officeDocument/2006/relationships/hyperlink" Target="https://search.ancestryinstitution.com/aird/search/db.aspx?dbid=3033" TargetMode="External"/><Relationship Id="rId2489" Type="http://schemas.openxmlformats.org/officeDocument/2006/relationships/hyperlink" Target="https://search.ancestryinstitution.com/aird/search/db.aspx?dbid=2500" TargetMode="External"/><Relationship Id="rId2696" Type="http://schemas.openxmlformats.org/officeDocument/2006/relationships/hyperlink" Target="https://search.ancestryinstitution.com/aird/search/db.aspx?dbid=2500" TargetMode="External"/><Relationship Id="rId668" Type="http://schemas.openxmlformats.org/officeDocument/2006/relationships/hyperlink" Target="https://catalog.archives.gov/search?q=*:*&amp;f.ancestorNaIds=2806053&amp;sort=naIdSort%20asc" TargetMode="External"/><Relationship Id="rId875" Type="http://schemas.openxmlformats.org/officeDocument/2006/relationships/hyperlink" Target="https://search.ancestryinstitution.com/aird/search/db.aspx?dbid=60501" TargetMode="External"/><Relationship Id="rId1298" Type="http://schemas.openxmlformats.org/officeDocument/2006/relationships/hyperlink" Target="https://catalog.archives.gov/search-within/654530?q=record.microformPublications.identifier%3AM535&amp;sort=title%3Aasc" TargetMode="External"/><Relationship Id="rId2349" Type="http://schemas.openxmlformats.org/officeDocument/2006/relationships/hyperlink" Target="https://catalog.archives.gov/search?q=*:*&amp;f.ancestorNaIds=1244179&amp;sort=naIdSort%20asc" TargetMode="External"/><Relationship Id="rId2556" Type="http://schemas.openxmlformats.org/officeDocument/2006/relationships/hyperlink" Target="https://search.ancestryinstitution.com/aird/search/db.aspx?dbid=2503" TargetMode="External"/><Relationship Id="rId2763" Type="http://schemas.openxmlformats.org/officeDocument/2006/relationships/hyperlink" Target="https://search.ancestryinstitution.com/aird/search/db.aspx?dbid=2507" TargetMode="External"/><Relationship Id="rId2970" Type="http://schemas.openxmlformats.org/officeDocument/2006/relationships/hyperlink" Target="https://catalog.archives.gov/search?q=*:*&amp;f.ancestorNaIds=5700802&amp;sort=naIdSort%20asc" TargetMode="External"/><Relationship Id="rId528" Type="http://schemas.openxmlformats.org/officeDocument/2006/relationships/hyperlink" Target="https://search.ancestryinstitution.com/aird/search/db.aspx?dbid=1082" TargetMode="External"/><Relationship Id="rId735" Type="http://schemas.openxmlformats.org/officeDocument/2006/relationships/hyperlink" Target="https://search.ancestryinstitution.com/aird/search/db.aspx?dbid=1042" TargetMode="External"/><Relationship Id="rId942" Type="http://schemas.openxmlformats.org/officeDocument/2006/relationships/hyperlink" Target="https://catalog.archives.gov/search?q=A3995&amp;f.ancestorNaIds=2788541&amp;sort=naIdSort%20asc" TargetMode="External"/><Relationship Id="rId1158" Type="http://schemas.openxmlformats.org/officeDocument/2006/relationships/hyperlink" Target="https://search.ancestryinstitution.com/aird/search/db.aspx?dbid=2322" TargetMode="External"/><Relationship Id="rId1365" Type="http://schemas.openxmlformats.org/officeDocument/2006/relationships/hyperlink" Target="http://www.fold3.com/title_803/" TargetMode="External"/><Relationship Id="rId1572" Type="http://schemas.openxmlformats.org/officeDocument/2006/relationships/hyperlink" Target="http://www.footnote.com/title_100/" TargetMode="External"/><Relationship Id="rId2209" Type="http://schemas.openxmlformats.org/officeDocument/2006/relationships/hyperlink" Target="https://catalog.archives.gov/search?q=*:*&amp;f.ancestorNaIds=647811&amp;sort=titleSort%20asc" TargetMode="External"/><Relationship Id="rId2416" Type="http://schemas.openxmlformats.org/officeDocument/2006/relationships/hyperlink" Target="https://catalog.archives.gov/search?q=*:*&amp;f.ancestorNaIds=2111801&amp;sort=naIdSort%20asc" TargetMode="External"/><Relationship Id="rId2623" Type="http://schemas.openxmlformats.org/officeDocument/2006/relationships/hyperlink" Target="https://search.ancestryinstitution.com/aird/search/db.aspx?dbid=1850" TargetMode="External"/><Relationship Id="rId1018" Type="http://schemas.openxmlformats.org/officeDocument/2006/relationships/hyperlink" Target="https://catalog.archives.gov/search?q=A4102&amp;f.ancestorNaIds=2945529&amp;sort=naIdSort%20asc" TargetMode="External"/><Relationship Id="rId1225" Type="http://schemas.openxmlformats.org/officeDocument/2006/relationships/hyperlink" Target="http://www.footnote.com/title_872/" TargetMode="External"/><Relationship Id="rId1432" Type="http://schemas.openxmlformats.org/officeDocument/2006/relationships/hyperlink" Target="https://familysearch.org/search/collection/2075263" TargetMode="External"/><Relationship Id="rId2830" Type="http://schemas.openxmlformats.org/officeDocument/2006/relationships/hyperlink" Target="https://catalog.archives.gov/search?q=*:*&amp;f.ancestorNaIds=4644630&amp;sort=naIdSort%20asc" TargetMode="External"/><Relationship Id="rId71" Type="http://schemas.openxmlformats.org/officeDocument/2006/relationships/hyperlink" Target="https://catalog.archives.gov/search-within/2839036?availableOnline=true&amp;sort=naId%3Aasc" TargetMode="External"/><Relationship Id="rId802" Type="http://schemas.openxmlformats.org/officeDocument/2006/relationships/hyperlink" Target="https://search.ancestryinstitution.com/aird/search/db.aspx?dbid=60501" TargetMode="External"/><Relationship Id="rId178" Type="http://schemas.openxmlformats.org/officeDocument/2006/relationships/hyperlink" Target="https://catalog.archives.gov/search-within/3053962?availableOnline=true&amp;sort=naId%3Aasc" TargetMode="External"/><Relationship Id="rId3257" Type="http://schemas.openxmlformats.org/officeDocument/2006/relationships/hyperlink" Target="https://familysearch.org/search/collection/1390101" TargetMode="External"/><Relationship Id="rId385" Type="http://schemas.openxmlformats.org/officeDocument/2006/relationships/hyperlink" Target="https://search.ancestryinstitution.com/search/db.aspx?dbid=1075" TargetMode="External"/><Relationship Id="rId592" Type="http://schemas.openxmlformats.org/officeDocument/2006/relationships/hyperlink" Target="https://search.ancestryinstitution.com/aird/search/db.aspx?dbid=9220" TargetMode="External"/><Relationship Id="rId2066" Type="http://schemas.openxmlformats.org/officeDocument/2006/relationships/hyperlink" Target="https://search.ancestryinstitution.com/aird/search/db.aspx?dbid=1002" TargetMode="External"/><Relationship Id="rId2273" Type="http://schemas.openxmlformats.org/officeDocument/2006/relationships/hyperlink" Target="https://catalog.archives.gov/search?q=*:*&amp;f.ancestorNaIds=788678&amp;sort=naIdSort%20asc" TargetMode="External"/><Relationship Id="rId2480" Type="http://schemas.openxmlformats.org/officeDocument/2006/relationships/hyperlink" Target="https://search.ancestryinstitution.com/aird/search/db.aspx?dbid=2500" TargetMode="External"/><Relationship Id="rId3117" Type="http://schemas.openxmlformats.org/officeDocument/2006/relationships/hyperlink" Target="https://catalog.archives.gov/search-within/7551469" TargetMode="External"/><Relationship Id="rId3324" Type="http://schemas.openxmlformats.org/officeDocument/2006/relationships/hyperlink" Target="https://catalog.archives.gov/search?q=T529&amp;f.ancestorNaIds=608958" TargetMode="External"/><Relationship Id="rId245" Type="http://schemas.openxmlformats.org/officeDocument/2006/relationships/hyperlink" Target="https://search.ancestryinstitution.com/aird/search/db.aspx?dbid=2506" TargetMode="External"/><Relationship Id="rId452" Type="http://schemas.openxmlformats.org/officeDocument/2006/relationships/hyperlink" Target="https://catalog.archives.gov/search?q=*:*&amp;f.ancestorNaIds=1956106&amp;sort=naIdSort%20asc" TargetMode="External"/><Relationship Id="rId1082" Type="http://schemas.openxmlformats.org/officeDocument/2006/relationships/hyperlink" Target="https://ancestry.com/" TargetMode="External"/><Relationship Id="rId2133" Type="http://schemas.openxmlformats.org/officeDocument/2006/relationships/hyperlink" Target="https://search.ancestryinstitution.com/aird/search/db.aspx?dbid=2509" TargetMode="External"/><Relationship Id="rId2340" Type="http://schemas.openxmlformats.org/officeDocument/2006/relationships/hyperlink" Target="https://search.ancestryinstitution.com/aird/search/db.aspx?dbid=2132" TargetMode="External"/><Relationship Id="rId105" Type="http://schemas.openxmlformats.org/officeDocument/2006/relationships/hyperlink" Target="https://catalog.archives.gov/search-within/2699825?availableOnline=true&amp;sort=naId%3Aasc" TargetMode="External"/><Relationship Id="rId312" Type="http://schemas.openxmlformats.org/officeDocument/2006/relationships/hyperlink" Target="https://catalog.archives.gov/search?q=*:*&amp;f.ancestorNaIds=24493473" TargetMode="External"/><Relationship Id="rId2200" Type="http://schemas.openxmlformats.org/officeDocument/2006/relationships/hyperlink" Target="https://catalog.archives.gov/search?q=*:*&amp;f.ancestorNaIds=633954&amp;sort=naIdSort%20asc" TargetMode="External"/><Relationship Id="rId1899" Type="http://schemas.openxmlformats.org/officeDocument/2006/relationships/hyperlink" Target="https://search.ancestryinstitution.com/aird/search/db.aspx?dbid=1928" TargetMode="External"/><Relationship Id="rId1759" Type="http://schemas.openxmlformats.org/officeDocument/2006/relationships/hyperlink" Target="https://catalog.archives.gov/search?q=m1640&amp;f.recordGroupNoCollectionId=21&amp;f.oldScope=online" TargetMode="External"/><Relationship Id="rId1966" Type="http://schemas.openxmlformats.org/officeDocument/2006/relationships/hyperlink" Target="http://www.fold3.com/title_777/" TargetMode="External"/><Relationship Id="rId3181" Type="http://schemas.openxmlformats.org/officeDocument/2006/relationships/hyperlink" Target="http://www.footnote.com/title_650/" TargetMode="External"/><Relationship Id="rId1619" Type="http://schemas.openxmlformats.org/officeDocument/2006/relationships/hyperlink" Target="https://search.ancestryinstitution.com/aird/search/db.aspx?dbid=8722" TargetMode="External"/><Relationship Id="rId1826" Type="http://schemas.openxmlformats.org/officeDocument/2006/relationships/hyperlink" Target="https://search.ancestryinstitution.com/aird/search/db.aspx?dbid=1082" TargetMode="External"/><Relationship Id="rId3041" Type="http://schemas.openxmlformats.org/officeDocument/2006/relationships/hyperlink" Target="https://search.ancestryinstitution.com/aird/search/db.aspx?dbid=2502" TargetMode="External"/><Relationship Id="rId779" Type="http://schemas.openxmlformats.org/officeDocument/2006/relationships/hyperlink" Target="https://search.ancestryinstitution.com/aird/search/db.aspx?dbid=9127" TargetMode="External"/><Relationship Id="rId986" Type="http://schemas.openxmlformats.org/officeDocument/2006/relationships/hyperlink" Target="https://drive.google.com/file/d/1uRu1LDEVy2nEj_MkrJrdIWz77VnuMuVh/view?usp=sharing" TargetMode="External"/><Relationship Id="rId2667" Type="http://schemas.openxmlformats.org/officeDocument/2006/relationships/hyperlink" Target="https://search.ancestryinstitution.com/aird/search/db.aspx?dbid=1850" TargetMode="External"/><Relationship Id="rId639" Type="http://schemas.openxmlformats.org/officeDocument/2006/relationships/hyperlink" Target="https://search.ancestryinstitution.com/aird/search/db.aspx?dbid=1502" TargetMode="External"/><Relationship Id="rId1269" Type="http://schemas.openxmlformats.org/officeDocument/2006/relationships/hyperlink" Target="https://familysearch.org/search/collection/1932409" TargetMode="External"/><Relationship Id="rId1476" Type="http://schemas.openxmlformats.org/officeDocument/2006/relationships/hyperlink" Target="https://search.ancestryinstitution.com/aird/search/db.aspx?dbid=8755" TargetMode="External"/><Relationship Id="rId2874" Type="http://schemas.openxmlformats.org/officeDocument/2006/relationships/hyperlink" Target="https://catalog.archives.gov/search?q=*:*&amp;f.ancestorNaIds=4695971&amp;sort=titleSort%20asc" TargetMode="External"/><Relationship Id="rId846" Type="http://schemas.openxmlformats.org/officeDocument/2006/relationships/hyperlink" Target="https://catalog.archives.gov/search?q=A3857&amp;f.ancestorNaIds=2645720&amp;sort=naIdSort%20asc" TargetMode="External"/><Relationship Id="rId1129" Type="http://schemas.openxmlformats.org/officeDocument/2006/relationships/hyperlink" Target="https://search.ancestryinstitution.com/aird/search/db.aspx?dbid=7613" TargetMode="External"/><Relationship Id="rId1683" Type="http://schemas.openxmlformats.org/officeDocument/2006/relationships/hyperlink" Target="https://familysearch.org/search/collection/1876434" TargetMode="External"/><Relationship Id="rId1890" Type="http://schemas.openxmlformats.org/officeDocument/2006/relationships/hyperlink" Target="https://search.ancestryinstitution.com/aird/search/db.aspx?dbid=1107" TargetMode="External"/><Relationship Id="rId2527" Type="http://schemas.openxmlformats.org/officeDocument/2006/relationships/hyperlink" Target="https://search.ancestryinstitution.com/aird/search/db.aspx?dbid=1002" TargetMode="External"/><Relationship Id="rId2734" Type="http://schemas.openxmlformats.org/officeDocument/2006/relationships/hyperlink" Target="https://catalog.archives.gov/search-within/4492374" TargetMode="External"/><Relationship Id="rId2941" Type="http://schemas.openxmlformats.org/officeDocument/2006/relationships/hyperlink" Target="https://search.ancestryinstitution.com/aird/search/db.aspx?dbid=2501" TargetMode="External"/><Relationship Id="rId706" Type="http://schemas.openxmlformats.org/officeDocument/2006/relationships/hyperlink" Target="https://search.ancestryinstitution.com/aird/search/db.aspx?dbid=9119" TargetMode="External"/><Relationship Id="rId913" Type="http://schemas.openxmlformats.org/officeDocument/2006/relationships/hyperlink" Target="https://search.ancestryinstitution.com/aird/search/db.aspx?dbid=9220" TargetMode="External"/><Relationship Id="rId1336" Type="http://schemas.openxmlformats.org/officeDocument/2006/relationships/hyperlink" Target="https://www.fold3.com/title/79/george-washington-correspondence" TargetMode="External"/><Relationship Id="rId1543" Type="http://schemas.openxmlformats.org/officeDocument/2006/relationships/hyperlink" Target="https://catalog.archives.gov/search?q=M1028&amp;f.ancestorNaIds=654520" TargetMode="External"/><Relationship Id="rId1750" Type="http://schemas.openxmlformats.org/officeDocument/2006/relationships/hyperlink" Target="https://search.ancestryinstitution.com/aird/search/db.aspx?dbid=1253" TargetMode="External"/><Relationship Id="rId2801" Type="http://schemas.openxmlformats.org/officeDocument/2006/relationships/hyperlink" Target="https://catalog.archives.gov/search?q=*:*&amp;f.ancestorNaIds=4522208&amp;sort=naIdSort%20asc" TargetMode="External"/><Relationship Id="rId42" Type="http://schemas.openxmlformats.org/officeDocument/2006/relationships/hyperlink" Target="https://ancestry.com/" TargetMode="External"/><Relationship Id="rId1403" Type="http://schemas.openxmlformats.org/officeDocument/2006/relationships/hyperlink" Target="https://search.ancestryinstitution.com/aird/search/db.aspx?dbid=1264" TargetMode="External"/><Relationship Id="rId1610" Type="http://schemas.openxmlformats.org/officeDocument/2006/relationships/hyperlink" Target="https://catalog.archives.gov/search?q=m1301%20fold3&amp;f.oldScope=online&amp;f.recordGroupNoCollectionId=75" TargetMode="External"/><Relationship Id="rId3368" Type="http://schemas.openxmlformats.org/officeDocument/2006/relationships/hyperlink" Target="http://www.footnote.com/title_466/" TargetMode="External"/><Relationship Id="rId289" Type="http://schemas.openxmlformats.org/officeDocument/2006/relationships/hyperlink" Target="https://search.ancestryinstitution.com/aird/search/db.aspx?dbid=2506" TargetMode="External"/><Relationship Id="rId496" Type="http://schemas.openxmlformats.org/officeDocument/2006/relationships/hyperlink" Target="https://www.familysearch.org/search/collection/2443343" TargetMode="External"/><Relationship Id="rId2177" Type="http://schemas.openxmlformats.org/officeDocument/2006/relationships/hyperlink" Target="https://catalog.archives.gov/search-within/611024" TargetMode="External"/><Relationship Id="rId2384" Type="http://schemas.openxmlformats.org/officeDocument/2006/relationships/hyperlink" Target="https://search.ancestryinstitution.com/aird/search/db.aspx?dbid=2501" TargetMode="External"/><Relationship Id="rId2591" Type="http://schemas.openxmlformats.org/officeDocument/2006/relationships/hyperlink" Target="https://search.ancestryinstitution.com/aird/search/db.aspx?dbid=9268" TargetMode="External"/><Relationship Id="rId3228" Type="http://schemas.openxmlformats.org/officeDocument/2006/relationships/hyperlink" Target="https://catalog.archives.gov/search?q=*:*&amp;f.ancestorNaIds=81448631&amp;sort=naIdSort%20asc" TargetMode="External"/><Relationship Id="rId149" Type="http://schemas.openxmlformats.org/officeDocument/2006/relationships/hyperlink" Target="https://familysearch.org/search/collection/2443351" TargetMode="External"/><Relationship Id="rId356" Type="http://schemas.openxmlformats.org/officeDocument/2006/relationships/hyperlink" Target="https://catalog.archives.gov/search?q=*:*&amp;f.ancestorNaIds=4497917&amp;sort=naIdSort%20asc" TargetMode="External"/><Relationship Id="rId563" Type="http://schemas.openxmlformats.org/officeDocument/2006/relationships/hyperlink" Target="https://search.ancestryinstitution.com/aird/search/db.aspx?dbid=1082" TargetMode="External"/><Relationship Id="rId770" Type="http://schemas.openxmlformats.org/officeDocument/2006/relationships/hyperlink" Target="https://search.ancestryinstitution.com/aird/search/db.aspx?dbid=2257" TargetMode="External"/><Relationship Id="rId1193" Type="http://schemas.openxmlformats.org/officeDocument/2006/relationships/hyperlink" Target="https://catalog.archives.gov/search?q=M322&amp;f.ancestorNaIds=586957" TargetMode="External"/><Relationship Id="rId2037" Type="http://schemas.openxmlformats.org/officeDocument/2006/relationships/hyperlink" Target="https://catalog.archives.gov/search?q=*:*&amp;f.parentNaId=300020&amp;f.level=fileUnit&amp;sort=naIdSort%20asc&amp;f.oldScope=online" TargetMode="External"/><Relationship Id="rId2244" Type="http://schemas.openxmlformats.org/officeDocument/2006/relationships/hyperlink" Target="https://catalog.archives.gov/search?q=*:*&amp;f.ancestorNaIds=721447&amp;sort=naIdSort%20asc" TargetMode="External"/><Relationship Id="rId2451" Type="http://schemas.openxmlformats.org/officeDocument/2006/relationships/hyperlink" Target="https://search.ancestryinstitution.com/aird/search/db.aspx?dbid=9282" TargetMode="External"/><Relationship Id="rId216" Type="http://schemas.openxmlformats.org/officeDocument/2006/relationships/hyperlink" Target="https://www.familysearch.org/search/collection/2822776" TargetMode="External"/><Relationship Id="rId423" Type="http://schemas.openxmlformats.org/officeDocument/2006/relationships/hyperlink" Target="https://catalog.archives.gov/search?q=*:*&amp;f.ancestorNaIds=4477230&amp;sort=naIdSort%20asc" TargetMode="External"/><Relationship Id="rId1053" Type="http://schemas.openxmlformats.org/officeDocument/2006/relationships/hyperlink" Target="https://catalog.archives.gov/search?q=A4163&amp;f.ancestorNaIds=3260229&amp;sort=naIdSort%20asc" TargetMode="External"/><Relationship Id="rId1260" Type="http://schemas.openxmlformats.org/officeDocument/2006/relationships/hyperlink" Target="http://www.fold3.com/title_688/civil_war_soldiers_union_tx/" TargetMode="External"/><Relationship Id="rId2104" Type="http://schemas.openxmlformats.org/officeDocument/2006/relationships/hyperlink" Target="https://search.ancestryinstitution.com/aird/search/db.aspx?dbid=2498" TargetMode="External"/><Relationship Id="rId630" Type="http://schemas.openxmlformats.org/officeDocument/2006/relationships/hyperlink" Target="https://search.ancestryinstitution.com/aird/search/db.aspx?dbid=9126" TargetMode="External"/><Relationship Id="rId2311" Type="http://schemas.openxmlformats.org/officeDocument/2006/relationships/hyperlink" Target="https://familysearch.org/search/collection/2173973" TargetMode="External"/><Relationship Id="rId1120" Type="http://schemas.openxmlformats.org/officeDocument/2006/relationships/hyperlink" Target="https://familysearch.org/search/collection/1849782" TargetMode="External"/><Relationship Id="rId1937" Type="http://schemas.openxmlformats.org/officeDocument/2006/relationships/hyperlink" Target="http://www.fold3.com/title_757/omgus_cultural_affairs_branch/" TargetMode="External"/><Relationship Id="rId3085" Type="http://schemas.openxmlformats.org/officeDocument/2006/relationships/hyperlink" Target="https://familysearch.org/search/collection/2193241" TargetMode="External"/><Relationship Id="rId3292" Type="http://schemas.openxmlformats.org/officeDocument/2006/relationships/hyperlink" Target="https://aad.archives.gov/aad/fielded-search.jsp?dt=194&amp;cat=SB81&amp;tf=F&amp;bc=sb,sl" TargetMode="External"/><Relationship Id="rId3152" Type="http://schemas.openxmlformats.org/officeDocument/2006/relationships/hyperlink" Target="https://search.ancestryinstitution.com/aird/search/db.aspx?dbid=2238" TargetMode="External"/><Relationship Id="rId280" Type="http://schemas.openxmlformats.org/officeDocument/2006/relationships/hyperlink" Target="https://catalog.archives.gov/search?q=*:*&amp;f.ancestorNaIds=2406662" TargetMode="External"/><Relationship Id="rId3012" Type="http://schemas.openxmlformats.org/officeDocument/2006/relationships/hyperlink" Target="https://catalog.archives.gov/search-within/5888609" TargetMode="External"/><Relationship Id="rId140" Type="http://schemas.openxmlformats.org/officeDocument/2006/relationships/hyperlink" Target="https://search.ancestryinstitution.com/aird/search/db.aspx?dbid=8842" TargetMode="External"/><Relationship Id="rId6" Type="http://schemas.openxmlformats.org/officeDocument/2006/relationships/hyperlink" Target="https://search.ancestryinstitution.com/search/db.aspx?dbid=60517" TargetMode="External"/><Relationship Id="rId2778" Type="http://schemas.openxmlformats.org/officeDocument/2006/relationships/hyperlink" Target="https://search.ancestryinstitution.com/aird/search/db.aspx?dbid=2509" TargetMode="External"/><Relationship Id="rId2985" Type="http://schemas.openxmlformats.org/officeDocument/2006/relationships/hyperlink" Target="https://catalog.archives.gov/search?q=*:*&amp;f.ancestorNaIds=5717252&amp;sort=naIdSort%20asc" TargetMode="External"/><Relationship Id="rId957" Type="http://schemas.openxmlformats.org/officeDocument/2006/relationships/hyperlink" Target="https://search.ancestryinstitution.com/aird/search/db.aspx?dbid=9220" TargetMode="External"/><Relationship Id="rId1587" Type="http://schemas.openxmlformats.org/officeDocument/2006/relationships/hyperlink" Target="https://search.ancestryinstitution.com/search/db.aspx?dbid=1629" TargetMode="External"/><Relationship Id="rId1794" Type="http://schemas.openxmlformats.org/officeDocument/2006/relationships/hyperlink" Target="https://search.ancestryinstitution.com/aird/search/db.aspx?dbid=1629" TargetMode="External"/><Relationship Id="rId2638" Type="http://schemas.openxmlformats.org/officeDocument/2006/relationships/hyperlink" Target="https://search.ancestryinstitution.com/aird/search/db.aspx?dbid=2506" TargetMode="External"/><Relationship Id="rId2845" Type="http://schemas.openxmlformats.org/officeDocument/2006/relationships/hyperlink" Target="https://www.fold3.com/title_816/wwii_draft_registration_cards" TargetMode="External"/><Relationship Id="rId86" Type="http://schemas.openxmlformats.org/officeDocument/2006/relationships/hyperlink" Target="https://search.ancestryinstitution.com/aird/search/db.aspx?dbid=9220" TargetMode="External"/><Relationship Id="rId817" Type="http://schemas.openxmlformats.org/officeDocument/2006/relationships/hyperlink" Target="https://search.ancestryinstitution.com/search/db.aspx?dbid=8842" TargetMode="External"/><Relationship Id="rId1447" Type="http://schemas.openxmlformats.org/officeDocument/2006/relationships/hyperlink" Target="https://search.ancestryinstitution.com/aird/search/db.aspx?dbid=1264" TargetMode="External"/><Relationship Id="rId1654" Type="http://schemas.openxmlformats.org/officeDocument/2006/relationships/hyperlink" Target="https://search.ancestryinstitution.com/aird/search/db.aspx?dbid=7949" TargetMode="External"/><Relationship Id="rId1861" Type="http://schemas.openxmlformats.org/officeDocument/2006/relationships/hyperlink" Target="https://search.ancestryinstitution.com/aird/search/db.aspx?dbid=1107" TargetMode="External"/><Relationship Id="rId2705" Type="http://schemas.openxmlformats.org/officeDocument/2006/relationships/hyperlink" Target="https://search.ancestryinstitution.com/aird/search/db.aspx?dbid=2507" TargetMode="External"/><Relationship Id="rId2912" Type="http://schemas.openxmlformats.org/officeDocument/2006/relationships/hyperlink" Target="https://catalog.archives.gov/search-within/4713717" TargetMode="External"/><Relationship Id="rId1307" Type="http://schemas.openxmlformats.org/officeDocument/2006/relationships/hyperlink" Target="http://www.fold3.com/title_821/" TargetMode="External"/><Relationship Id="rId1514" Type="http://schemas.openxmlformats.org/officeDocument/2006/relationships/hyperlink" Target="https://familysearch.org/search/collection/1849623" TargetMode="External"/><Relationship Id="rId1721" Type="http://schemas.openxmlformats.org/officeDocument/2006/relationships/hyperlink" Target="https://search.ancestryinstitution.com/aird/search/db.aspx?dbid=1554" TargetMode="External"/><Relationship Id="rId13" Type="http://schemas.openxmlformats.org/officeDocument/2006/relationships/hyperlink" Target="https://catalog.archives.gov/search-within/2723258?availableOnline=true&amp;sort=naId%3Aasc" TargetMode="External"/><Relationship Id="rId2288" Type="http://schemas.openxmlformats.org/officeDocument/2006/relationships/hyperlink" Target="https://familysearch.org/search/collection/2187007" TargetMode="External"/><Relationship Id="rId2495" Type="http://schemas.openxmlformats.org/officeDocument/2006/relationships/hyperlink" Target="https://catalog.archives.gov/search?q=*:*&amp;f.ancestorNaIds=%202435808&amp;sort=naIdSort%20asc" TargetMode="External"/><Relationship Id="rId3339" Type="http://schemas.openxmlformats.org/officeDocument/2006/relationships/hyperlink" Target="https://familysearch.org/search/collection/1488411" TargetMode="External"/><Relationship Id="rId467" Type="http://schemas.openxmlformats.org/officeDocument/2006/relationships/hyperlink" Target="https://search.ancestryinstitution.com/search/db.aspx?dbid=1082" TargetMode="External"/><Relationship Id="rId1097" Type="http://schemas.openxmlformats.org/officeDocument/2006/relationships/hyperlink" Target="https://catalog.archives.gov/search?q=*:*&amp;f.ancestorNaIds=5686152&amp;sort=naIdSort%20asc" TargetMode="External"/><Relationship Id="rId2148" Type="http://schemas.openxmlformats.org/officeDocument/2006/relationships/hyperlink" Target="https://catalog.archives.gov/search?q=*:*&amp;f.ancestorNaIds=598884&amp;sort=naIdSort%20asc" TargetMode="External"/><Relationship Id="rId674" Type="http://schemas.openxmlformats.org/officeDocument/2006/relationships/hyperlink" Target="https://catalog.archives.gov/search?q=A3603&amp;f.ancestorNaIds=2668724" TargetMode="External"/><Relationship Id="rId881" Type="http://schemas.openxmlformats.org/officeDocument/2006/relationships/hyperlink" Target="https://catalog.archives.gov/search?q=A3928&amp;f.ancestorNaIds=2802319&amp;sort=naIdSort%20asc" TargetMode="External"/><Relationship Id="rId2355" Type="http://schemas.openxmlformats.org/officeDocument/2006/relationships/hyperlink" Target="https://search.ancestryinstitution.com/aird/search/db.aspx?dbid=1174" TargetMode="External"/><Relationship Id="rId2562" Type="http://schemas.openxmlformats.org/officeDocument/2006/relationships/hyperlink" Target="https://catalog.archives.gov/search-within/2658141" TargetMode="External"/><Relationship Id="rId327" Type="http://schemas.openxmlformats.org/officeDocument/2006/relationships/hyperlink" Target="https://catalog.archives.gov/search?q=*:*&amp;f.ancestorNaIds=24493474" TargetMode="External"/><Relationship Id="rId534" Type="http://schemas.openxmlformats.org/officeDocument/2006/relationships/hyperlink" Target="https://www.familysearch.org/search/collection/2443335" TargetMode="External"/><Relationship Id="rId741" Type="http://schemas.openxmlformats.org/officeDocument/2006/relationships/hyperlink" Target="https://search.ancestryinstitution.com/aird/search/db.aspx?dbid=7484" TargetMode="External"/><Relationship Id="rId1164" Type="http://schemas.openxmlformats.org/officeDocument/2006/relationships/hyperlink" Target="http://www.footnote.com/title_914/" TargetMode="External"/><Relationship Id="rId1371" Type="http://schemas.openxmlformats.org/officeDocument/2006/relationships/hyperlink" Target="https://familysearch.org/search/collection/1473181" TargetMode="External"/><Relationship Id="rId2008" Type="http://schemas.openxmlformats.org/officeDocument/2006/relationships/hyperlink" Target="https://search.ancestryinstitution.com/aird/search/db.aspx?dbid=1005" TargetMode="External"/><Relationship Id="rId2215" Type="http://schemas.openxmlformats.org/officeDocument/2006/relationships/hyperlink" Target="https://search.ancestryinstitution.com/aird/search/db.aspx?dbid=2507" TargetMode="External"/><Relationship Id="rId2422" Type="http://schemas.openxmlformats.org/officeDocument/2006/relationships/hyperlink" Target="https://catalog.archives.gov/search?q=*:*&amp;f.ancestorNaIds=2117247&amp;sort=naIdSort%20asc" TargetMode="External"/><Relationship Id="rId601" Type="http://schemas.openxmlformats.org/officeDocument/2006/relationships/hyperlink" Target="https://catalog.archives.gov/search?q=A3522&amp;f.ancestorNaIds=2843278&amp;sort=naIdSort%20asc" TargetMode="External"/><Relationship Id="rId1024" Type="http://schemas.openxmlformats.org/officeDocument/2006/relationships/hyperlink" Target="https://catalog.archives.gov/search?q=A4115&amp;f.ancestorNaIds=2990227&amp;sort=naIdSort%20asc" TargetMode="External"/><Relationship Id="rId1231" Type="http://schemas.openxmlformats.org/officeDocument/2006/relationships/hyperlink" Target="http://www.fold3.com/title_834/" TargetMode="External"/><Relationship Id="rId3196" Type="http://schemas.openxmlformats.org/officeDocument/2006/relationships/hyperlink" Target="http://www.footnote.com/title_650/" TargetMode="External"/><Relationship Id="rId3056" Type="http://schemas.openxmlformats.org/officeDocument/2006/relationships/hyperlink" Target="https://catalog.archives.gov/search?q=*:*&amp;f.ancestorNaIds=6171867&amp;sort=naIdSort%20asc" TargetMode="External"/><Relationship Id="rId3263" Type="http://schemas.openxmlformats.org/officeDocument/2006/relationships/hyperlink" Target="http://www.footnote.com/title_657/" TargetMode="External"/><Relationship Id="rId184" Type="http://schemas.openxmlformats.org/officeDocument/2006/relationships/hyperlink" Target="https://search.ancestryinstitution.com/aird/search/db.aspx?dbid=7949" TargetMode="External"/><Relationship Id="rId391" Type="http://schemas.openxmlformats.org/officeDocument/2006/relationships/hyperlink" Target="https://catalog.archives.gov/search?q=*:*&amp;f.ancestorNaIds=4492534&amp;sort=naIdSort%20asc" TargetMode="External"/><Relationship Id="rId1908" Type="http://schemas.openxmlformats.org/officeDocument/2006/relationships/hyperlink" Target="https://search.ancestryinstitution.com/aird/search/db.aspx?dbid=7949" TargetMode="External"/><Relationship Id="rId2072" Type="http://schemas.openxmlformats.org/officeDocument/2006/relationships/hyperlink" Target="https://familysearch.org/search/collection/1389983" TargetMode="External"/><Relationship Id="rId3123" Type="http://schemas.openxmlformats.org/officeDocument/2006/relationships/hyperlink" Target="http://familysearch.org/" TargetMode="External"/><Relationship Id="rId251" Type="http://schemas.openxmlformats.org/officeDocument/2006/relationships/hyperlink" Target="https://search.ancestryinstitution.com/aird/search/db.aspx?dbid=2365" TargetMode="External"/><Relationship Id="rId3330" Type="http://schemas.openxmlformats.org/officeDocument/2006/relationships/hyperlink" Target="https://search.ancestryinstitution.com/aird/search/db.aspx?dbid=7602" TargetMode="External"/><Relationship Id="rId2889" Type="http://schemas.openxmlformats.org/officeDocument/2006/relationships/hyperlink" Target="https://search.ancestryinstitution.com/aird/search/db.aspx?dbid=2508" TargetMode="External"/><Relationship Id="rId111" Type="http://schemas.openxmlformats.org/officeDocument/2006/relationships/hyperlink" Target="https://catalog.archives.gov/search-within/2945982?availableOnline=true&amp;sort=naId%3Aasc" TargetMode="External"/><Relationship Id="rId1698" Type="http://schemas.openxmlformats.org/officeDocument/2006/relationships/hyperlink" Target="https://search.ancestryinstitution.com/aird/search/db.aspx?dbid=1136" TargetMode="External"/><Relationship Id="rId2749" Type="http://schemas.openxmlformats.org/officeDocument/2006/relationships/hyperlink" Target="https://search.ancestryinstitution.com/aird/search/db.aspx?dbid=2507" TargetMode="External"/><Relationship Id="rId2956" Type="http://schemas.openxmlformats.org/officeDocument/2006/relationships/hyperlink" Target="https://search.ancestryinstitution.com/aird/search/db.aspx?dbid=2501" TargetMode="External"/><Relationship Id="rId928" Type="http://schemas.openxmlformats.org/officeDocument/2006/relationships/hyperlink" Target="https://search.ancestryinstitution.com/aird/search/db.aspx?dbid=8722" TargetMode="External"/><Relationship Id="rId1558" Type="http://schemas.openxmlformats.org/officeDocument/2006/relationships/hyperlink" Target="https://search.ancestryinstitution.com/aird/search/db.aspx?dbid=2135" TargetMode="External"/><Relationship Id="rId1765" Type="http://schemas.openxmlformats.org/officeDocument/2006/relationships/hyperlink" Target="https://search.ancestryinstitution.com/aird/search/db.aspx?dbid=1193" TargetMode="External"/><Relationship Id="rId2609" Type="http://schemas.openxmlformats.org/officeDocument/2006/relationships/hyperlink" Target="https://www.fold3.com/title_816/wwii_draft_registration_cards" TargetMode="External"/><Relationship Id="rId57" Type="http://schemas.openxmlformats.org/officeDocument/2006/relationships/hyperlink" Target="https://catalog.archives.gov/search-within/2825824?availableOnline=true&amp;sort=naId%3Aasc" TargetMode="External"/><Relationship Id="rId1418" Type="http://schemas.openxmlformats.org/officeDocument/2006/relationships/hyperlink" Target="https://familysearch.org/search/collection/2075263" TargetMode="External"/><Relationship Id="rId1972" Type="http://schemas.openxmlformats.org/officeDocument/2006/relationships/hyperlink" Target="https://www.fold3.com/title/693/civil-war-service-records-cmsr-union-delaware" TargetMode="External"/><Relationship Id="rId2816" Type="http://schemas.openxmlformats.org/officeDocument/2006/relationships/hyperlink" Target="https://catalog.archives.gov/search?q=*:*&amp;f.ancestorNaIds=4527091&amp;sort=naIdSort%20asc" TargetMode="External"/><Relationship Id="rId1625" Type="http://schemas.openxmlformats.org/officeDocument/2006/relationships/hyperlink" Target="https://catalog.archives.gov/search?q=M1372&amp;f.ancestorNaIds=566612&amp;sort=naIdSort%20asc" TargetMode="External"/><Relationship Id="rId1832" Type="http://schemas.openxmlformats.org/officeDocument/2006/relationships/hyperlink" Target="https://catalog.archives.gov/search?q=*:*&amp;f.ancestorNaIds=4529739&amp;sort=naIdSort%20asc" TargetMode="External"/><Relationship Id="rId2399" Type="http://schemas.openxmlformats.org/officeDocument/2006/relationships/hyperlink" Target="http://www.fold3.com/title_748/war_of_1812_service_records_lake_erie/" TargetMode="External"/><Relationship Id="rId578" Type="http://schemas.openxmlformats.org/officeDocument/2006/relationships/hyperlink" Target="https://catalog.archives.gov/search?q=*:*&amp;f.ancestorNaIds=2642484&amp;sort=naIdSort%20asc" TargetMode="External"/><Relationship Id="rId785" Type="http://schemas.openxmlformats.org/officeDocument/2006/relationships/hyperlink" Target="https://catalog.archives.gov/search?q=A43760&amp;f.ancestorNaIds=2694716&amp;sort=naIdSort%20asc" TargetMode="External"/><Relationship Id="rId992" Type="http://schemas.openxmlformats.org/officeDocument/2006/relationships/hyperlink" Target="https://search.ancestryinstitution.com/aird/search/db.aspx?dbid=8842" TargetMode="External"/><Relationship Id="rId2259" Type="http://schemas.openxmlformats.org/officeDocument/2006/relationships/hyperlink" Target="https://catalog.archives.gov/search?q=*:*&amp;f.ancestorNaIds=731276&amp;sort=naIdSort%20asc" TargetMode="External"/><Relationship Id="rId2466" Type="http://schemas.openxmlformats.org/officeDocument/2006/relationships/hyperlink" Target="https://search.ancestryinstitution.com/aird/search/db.aspx?dbid=2502" TargetMode="External"/><Relationship Id="rId2673" Type="http://schemas.openxmlformats.org/officeDocument/2006/relationships/hyperlink" Target="https://search.ancestryinstitution.com/aird/search/db.aspx?dbid=2509" TargetMode="External"/><Relationship Id="rId2880" Type="http://schemas.openxmlformats.org/officeDocument/2006/relationships/hyperlink" Target="https://catalog.archives.gov/search?q=*:*&amp;f.ancestorNaIds=4696816&amp;sort=naIdSort%20asc" TargetMode="External"/><Relationship Id="rId438" Type="http://schemas.openxmlformats.org/officeDocument/2006/relationships/hyperlink" Target="https://catalog.archives.gov/search?q=*:*&amp;f.ancestorNaIds=4497925&amp;sort=naIdSort%20asc" TargetMode="External"/><Relationship Id="rId645" Type="http://schemas.openxmlformats.org/officeDocument/2006/relationships/hyperlink" Target="https://search.ancestryinstitution.com/aird/search/db.aspx?dbid=1502" TargetMode="External"/><Relationship Id="rId852" Type="http://schemas.openxmlformats.org/officeDocument/2006/relationships/hyperlink" Target="https://catalog.archives.gov/search-within/2824981" TargetMode="External"/><Relationship Id="rId1068" Type="http://schemas.openxmlformats.org/officeDocument/2006/relationships/hyperlink" Target="https://search.ancestryinstitution.com/aird/search/db.aspx?dbid=8842" TargetMode="External"/><Relationship Id="rId1275" Type="http://schemas.openxmlformats.org/officeDocument/2006/relationships/hyperlink" Target="https://familysearch.org/search/collection/1845948" TargetMode="External"/><Relationship Id="rId1482" Type="http://schemas.openxmlformats.org/officeDocument/2006/relationships/hyperlink" Target="https://www.fold3.com/title/456/photos-truman" TargetMode="External"/><Relationship Id="rId2119" Type="http://schemas.openxmlformats.org/officeDocument/2006/relationships/hyperlink" Target="https://familysearch.org/search/collection/2170637" TargetMode="External"/><Relationship Id="rId2326" Type="http://schemas.openxmlformats.org/officeDocument/2006/relationships/hyperlink" Target="https://search.ancestryinstitution.com/search/db.aspx?dbid=1714" TargetMode="External"/><Relationship Id="rId2533" Type="http://schemas.openxmlformats.org/officeDocument/2006/relationships/hyperlink" Target="https://search.ancestryinstitution.com/aird/search/db.aspx?dbid=2503" TargetMode="External"/><Relationship Id="rId2740" Type="http://schemas.openxmlformats.org/officeDocument/2006/relationships/hyperlink" Target="https://www.familysearch.org/wiki/en/Puerto_Rico,_Naturalization_Records_-_FamilySearch_Historical_Records" TargetMode="External"/><Relationship Id="rId505" Type="http://schemas.openxmlformats.org/officeDocument/2006/relationships/hyperlink" Target="https://search.ancestryinstitution.com/aird/search/db.aspx?dbid=1277" TargetMode="External"/><Relationship Id="rId712" Type="http://schemas.openxmlformats.org/officeDocument/2006/relationships/hyperlink" Target="https://search.ancestryinstitution.com/aird/search/db.aspx?dbid=60517" TargetMode="External"/><Relationship Id="rId1135" Type="http://schemas.openxmlformats.org/officeDocument/2006/relationships/hyperlink" Target="https://catalog.archives.gov/search?q=M258&amp;f.ancestorNaIds=586957" TargetMode="External"/><Relationship Id="rId1342" Type="http://schemas.openxmlformats.org/officeDocument/2006/relationships/hyperlink" Target="https://search.ancestryinstitution.com/aird/search/db.aspx?dbid=1059" TargetMode="External"/><Relationship Id="rId1202" Type="http://schemas.openxmlformats.org/officeDocument/2006/relationships/hyperlink" Target="https://search.ancestryinstitution.com/aird/search/db.aspx?dbid=2322" TargetMode="External"/><Relationship Id="rId2600" Type="http://schemas.openxmlformats.org/officeDocument/2006/relationships/hyperlink" Target="https://www.familysearch.org/search/catalog/2834191" TargetMode="External"/><Relationship Id="rId3167" Type="http://schemas.openxmlformats.org/officeDocument/2006/relationships/hyperlink" Target="https://search.ancestryinstitution.com/aird/search/db.aspx?dbid=1002" TargetMode="External"/><Relationship Id="rId295" Type="http://schemas.openxmlformats.org/officeDocument/2006/relationships/hyperlink" Target="https://search.ancestryinstitution.com/aird/search/db.aspx?dbid=3025" TargetMode="External"/><Relationship Id="rId3374" Type="http://schemas.openxmlformats.org/officeDocument/2006/relationships/hyperlink" Target="https://catalog.archives.gov/search?q=T1135&amp;f.ancestorNaIds=86339067" TargetMode="External"/><Relationship Id="rId2183" Type="http://schemas.openxmlformats.org/officeDocument/2006/relationships/hyperlink" Target="https://search.ancestryinstitution.com/aird/search/db.aspx?dbid=60614" TargetMode="External"/><Relationship Id="rId2390" Type="http://schemas.openxmlformats.org/officeDocument/2006/relationships/hyperlink" Target="https://search.ancestryinstitution.com/aird/search/db.aspx?dbid=2505" TargetMode="External"/><Relationship Id="rId3027" Type="http://schemas.openxmlformats.org/officeDocument/2006/relationships/hyperlink" Target="https://catalog.archives.gov/search?q=*:*&amp;f.ancestorNaIds=6037061&amp;sort=naIdSort%20asc" TargetMode="External"/><Relationship Id="rId3234" Type="http://schemas.openxmlformats.org/officeDocument/2006/relationships/hyperlink" Target="https://catalog.archives.gov/search?q=*:*&amp;f.ancestorNaIds=81557017&amp;sort=naIdSort%20asc" TargetMode="External"/><Relationship Id="rId155" Type="http://schemas.openxmlformats.org/officeDocument/2006/relationships/hyperlink" Target="https://catalog.archives.gov/search-within/2789483?availableOnline=true&amp;sort=naId%3Aasc" TargetMode="External"/><Relationship Id="rId362" Type="http://schemas.openxmlformats.org/officeDocument/2006/relationships/hyperlink" Target="https://search.ancestryinstitution.com/search/db.aspx?dbid=1082" TargetMode="External"/><Relationship Id="rId2043" Type="http://schemas.openxmlformats.org/officeDocument/2006/relationships/hyperlink" Target="http://www.footnote.com/title_862/" TargetMode="External"/><Relationship Id="rId2250" Type="http://schemas.openxmlformats.org/officeDocument/2006/relationships/hyperlink" Target="https://catalog.archives.gov/search?q=*:*&amp;f.ancestorNaIds=731206&amp;sort=naIdSort%20asc" TargetMode="External"/><Relationship Id="rId3301" Type="http://schemas.openxmlformats.org/officeDocument/2006/relationships/hyperlink" Target="https://aad.archives.gov/aad/fielded-search.jsp?dt=240&amp;tf=F&amp;cat=SB81&amp;bc=sb,sl" TargetMode="External"/><Relationship Id="rId222" Type="http://schemas.openxmlformats.org/officeDocument/2006/relationships/hyperlink" Target="https://catalog.archives.gov/search-within/251747?availableOnline=true" TargetMode="External"/><Relationship Id="rId2110" Type="http://schemas.openxmlformats.org/officeDocument/2006/relationships/hyperlink" Target="https://search.ancestryinstitution.com/aird/search/db.aspx?dbid=1850" TargetMode="External"/><Relationship Id="rId1669" Type="http://schemas.openxmlformats.org/officeDocument/2006/relationships/hyperlink" Target="https://familysearch.org/search/collection/2185163" TargetMode="External"/><Relationship Id="rId1876" Type="http://schemas.openxmlformats.org/officeDocument/2006/relationships/hyperlink" Target="https://www.fold3.com/title_680/civil_war_soldiers_union_colored_troops_1st_infantry" TargetMode="External"/><Relationship Id="rId2927" Type="http://schemas.openxmlformats.org/officeDocument/2006/relationships/hyperlink" Target="https://www.fold3.com/title_816/wwii_draft_registration_cards" TargetMode="External"/><Relationship Id="rId3091" Type="http://schemas.openxmlformats.org/officeDocument/2006/relationships/hyperlink" Target="https://search.ancestryinstitution.com/aird/search/db.aspx?dbid=9170" TargetMode="External"/><Relationship Id="rId1529" Type="http://schemas.openxmlformats.org/officeDocument/2006/relationships/hyperlink" Target="https://search.ancestryinstitution.com/aird/search/db.aspx?dbid=1248" TargetMode="External"/><Relationship Id="rId1736" Type="http://schemas.openxmlformats.org/officeDocument/2006/relationships/hyperlink" Target="https://search.ancestryinstitution.com/aird/search/db.aspx?dbid=1629" TargetMode="External"/><Relationship Id="rId1943" Type="http://schemas.openxmlformats.org/officeDocument/2006/relationships/hyperlink" Target="https://catalog.archives.gov/search?q=M1926&amp;f.level=fileunit&amp;f.recordGroupNoCollectionId=260" TargetMode="External"/><Relationship Id="rId28" Type="http://schemas.openxmlformats.org/officeDocument/2006/relationships/hyperlink" Target="https://catalog.archives.gov/search-within/3053956?availableOnline=true&amp;sort=naId%3Aasc" TargetMode="External"/><Relationship Id="rId1803" Type="http://schemas.openxmlformats.org/officeDocument/2006/relationships/hyperlink" Target="https://search.ancestryinstitution.com/aird/search/db.aspx?dbid=1200" TargetMode="External"/><Relationship Id="rId689" Type="http://schemas.openxmlformats.org/officeDocument/2006/relationships/hyperlink" Target="https://search.ancestryinstitution.com/aird/search/db.aspx?dbid=60501" TargetMode="External"/><Relationship Id="rId896" Type="http://schemas.openxmlformats.org/officeDocument/2006/relationships/hyperlink" Target="https://catalog.archives.gov/search?q=A3946&amp;f.ancestorNaIds=2771998&amp;sort=naIdSort%20asc" TargetMode="External"/><Relationship Id="rId2577" Type="http://schemas.openxmlformats.org/officeDocument/2006/relationships/hyperlink" Target="https://search.ancestryinstitution.com/aird/search/db.aspx?dbid=2509" TargetMode="External"/><Relationship Id="rId2784" Type="http://schemas.openxmlformats.org/officeDocument/2006/relationships/hyperlink" Target="https://catalog.archives.gov/search?q=*:*&amp;f.ancestorNaIds=4513417&amp;sort=naIdSort%20asc" TargetMode="External"/><Relationship Id="rId549" Type="http://schemas.openxmlformats.org/officeDocument/2006/relationships/hyperlink" Target="https://catalog.archives.gov/search?q=*:*&amp;f.ancestorNaIds=4492662&amp;sort=naIdSort%20asc" TargetMode="External"/><Relationship Id="rId756" Type="http://schemas.openxmlformats.org/officeDocument/2006/relationships/hyperlink" Target="https://catalog.archives.gov/search?q=A3703&amp;f.ancestorNaIds=2767302&amp;sort=naIdSort%20asc" TargetMode="External"/><Relationship Id="rId1179" Type="http://schemas.openxmlformats.org/officeDocument/2006/relationships/hyperlink" Target="https://search.ancestry.com/search/db.aspx?dbid=2322" TargetMode="External"/><Relationship Id="rId1386" Type="http://schemas.openxmlformats.org/officeDocument/2006/relationships/hyperlink" Target="https://search.ancestryinstitution.com/aird/search/db.aspx?dbid=1225" TargetMode="External"/><Relationship Id="rId1593" Type="http://schemas.openxmlformats.org/officeDocument/2006/relationships/hyperlink" Target="https://search.ancestryinstitution.com/search/db.aspx?dbid=1629" TargetMode="External"/><Relationship Id="rId2437" Type="http://schemas.openxmlformats.org/officeDocument/2006/relationships/hyperlink" Target="https://catalog.archives.gov/search?q=*:*&amp;f.ancestorNaIds=2169533&amp;sort=naIdSort%20asc" TargetMode="External"/><Relationship Id="rId2991" Type="http://schemas.openxmlformats.org/officeDocument/2006/relationships/hyperlink" Target="https://catalog.archives.gov/search-within/5722999" TargetMode="External"/><Relationship Id="rId409" Type="http://schemas.openxmlformats.org/officeDocument/2006/relationships/hyperlink" Target="https://search.ancestryinstitution.com/search/db.aspx?dbid=1075" TargetMode="External"/><Relationship Id="rId963" Type="http://schemas.openxmlformats.org/officeDocument/2006/relationships/hyperlink" Target="https://catalog.archives.gov/search?q=A4029&amp;f.ancestorNaIds=3249885&amp;sort=naIdSort%20asc" TargetMode="External"/><Relationship Id="rId1039" Type="http://schemas.openxmlformats.org/officeDocument/2006/relationships/hyperlink" Target="https://search.ancestryinstitution.com/search/db.aspx?dbid=60882" TargetMode="External"/><Relationship Id="rId1246" Type="http://schemas.openxmlformats.org/officeDocument/2006/relationships/hyperlink" Target="https://familysearch.org/search/collection/1932427" TargetMode="External"/><Relationship Id="rId2644" Type="http://schemas.openxmlformats.org/officeDocument/2006/relationships/hyperlink" Target="https://familysearch.org/search/collection/2191222" TargetMode="External"/><Relationship Id="rId2851" Type="http://schemas.openxmlformats.org/officeDocument/2006/relationships/hyperlink" Target="https://catalog.archives.gov/search?q=*:*&amp;f.ancestorNaIds=4688318&amp;sort=naIdSort%20asc" TargetMode="External"/><Relationship Id="rId92" Type="http://schemas.openxmlformats.org/officeDocument/2006/relationships/hyperlink" Target="https://search.ancestryinstitution.com/search/db.aspx?dbid=9113" TargetMode="External"/><Relationship Id="rId616" Type="http://schemas.openxmlformats.org/officeDocument/2006/relationships/hyperlink" Target="https://catalog.archives.gov/search?q=A3544&amp;f.ancestorNaIds=2990151&amp;sort=naIdSort%20asc" TargetMode="External"/><Relationship Id="rId823" Type="http://schemas.openxmlformats.org/officeDocument/2006/relationships/hyperlink" Target="https://search.ancestryinstitution.com/aird/search/db.aspx?dbid=9112" TargetMode="External"/><Relationship Id="rId1453" Type="http://schemas.openxmlformats.org/officeDocument/2006/relationships/hyperlink" Target="https://familysearch.org/search/collection/2075263" TargetMode="External"/><Relationship Id="rId1660" Type="http://schemas.openxmlformats.org/officeDocument/2006/relationships/hyperlink" Target="http://www.fold3.com/title_93/" TargetMode="External"/><Relationship Id="rId2504" Type="http://schemas.openxmlformats.org/officeDocument/2006/relationships/hyperlink" Target="https://search.ancestryinstitution.com/aird/search/db.aspx?dbid=2505" TargetMode="External"/><Relationship Id="rId2711" Type="http://schemas.openxmlformats.org/officeDocument/2006/relationships/hyperlink" Target="https://search.ancestryinstitution.com/aird/search/db.aspx?dbid=2508" TargetMode="External"/><Relationship Id="rId1106" Type="http://schemas.openxmlformats.org/officeDocument/2006/relationships/hyperlink" Target="https://www.fold3.com/title/76/foreign-letters-of-the-continental-congress" TargetMode="External"/><Relationship Id="rId1313" Type="http://schemas.openxmlformats.org/officeDocument/2006/relationships/hyperlink" Target="http://www.fold3.com/title_800/" TargetMode="External"/><Relationship Id="rId1520" Type="http://schemas.openxmlformats.org/officeDocument/2006/relationships/hyperlink" Target="https://search.ancestryinstitution.com/aird/search/db.aspx?dbid=1267" TargetMode="External"/><Relationship Id="rId3278" Type="http://schemas.openxmlformats.org/officeDocument/2006/relationships/hyperlink" Target="https://catalog.archives.gov/search?q=*:*&amp;f.ancestorNaIds=24200770&amp;sort=naIdSort%20asc" TargetMode="External"/><Relationship Id="rId199" Type="http://schemas.openxmlformats.org/officeDocument/2006/relationships/hyperlink" Target="http://www.footnote.com/title_804/" TargetMode="External"/><Relationship Id="rId2087" Type="http://schemas.openxmlformats.org/officeDocument/2006/relationships/hyperlink" Target="https://search.ancestryinstitution.com/aird/search/db.aspx?dbid=2509" TargetMode="External"/><Relationship Id="rId2294" Type="http://schemas.openxmlformats.org/officeDocument/2006/relationships/hyperlink" Target="http://familysearch.org/" TargetMode="External"/><Relationship Id="rId3138" Type="http://schemas.openxmlformats.org/officeDocument/2006/relationships/hyperlink" Target="https://www.fold3.com/title_816/wwii_draft_registration_cards" TargetMode="External"/><Relationship Id="rId3345" Type="http://schemas.openxmlformats.org/officeDocument/2006/relationships/hyperlink" Target="https://familysearch.org/search/collection/2000219" TargetMode="External"/><Relationship Id="rId266" Type="http://schemas.openxmlformats.org/officeDocument/2006/relationships/hyperlink" Target="https://catalog.archives.gov/search?q=*:*&amp;f.ancestorNaIds=2165747" TargetMode="External"/><Relationship Id="rId473" Type="http://schemas.openxmlformats.org/officeDocument/2006/relationships/hyperlink" Target="https://catalog.archives.gov/search?q=*:*&amp;f.ancestorNaIds=4522821&amp;sort=naIdSort%20asc" TargetMode="External"/><Relationship Id="rId680" Type="http://schemas.openxmlformats.org/officeDocument/2006/relationships/hyperlink" Target="https://catalog.archives.gov/search?q=*:*&amp;f.ancestorNaIds=2669077&amp;sort=naIdSort%20asc" TargetMode="External"/><Relationship Id="rId2154" Type="http://schemas.openxmlformats.org/officeDocument/2006/relationships/hyperlink" Target="https://search.ancestryinstitution.com/aird/search/db.aspx?dbid=1002" TargetMode="External"/><Relationship Id="rId2361" Type="http://schemas.openxmlformats.org/officeDocument/2006/relationships/hyperlink" Target="https://catalog.archives.gov/search?q=*:*&amp;f.ancestorNaIds=1251972&amp;sort=naIdSort%20asc" TargetMode="External"/><Relationship Id="rId3205" Type="http://schemas.openxmlformats.org/officeDocument/2006/relationships/hyperlink" Target="https://catalog.archives.gov/search?q=*:*&amp;f.ancestorNaIds=55275795&amp;sort=naIdSort%20asc" TargetMode="External"/><Relationship Id="rId126" Type="http://schemas.openxmlformats.org/officeDocument/2006/relationships/hyperlink" Target="https://search.ancestryinstitution.com/aird/search/db.aspx?dbid=9220" TargetMode="External"/><Relationship Id="rId333" Type="http://schemas.openxmlformats.org/officeDocument/2006/relationships/hyperlink" Target="https://catalog.archives.gov/search?q=*:*&amp;f.ancestorNaIds=24493477" TargetMode="External"/><Relationship Id="rId540" Type="http://schemas.openxmlformats.org/officeDocument/2006/relationships/hyperlink" Target="https://catalog.archives.gov/search?q=*:*&amp;f.ancestorNaIds=4655422&amp;sort=naIdSort%20asc" TargetMode="External"/><Relationship Id="rId1170" Type="http://schemas.openxmlformats.org/officeDocument/2006/relationships/hyperlink" Target="https://familysearch.org/search/collection/1860873" TargetMode="External"/><Relationship Id="rId2014" Type="http://schemas.openxmlformats.org/officeDocument/2006/relationships/hyperlink" Target="https://catalog.archives.gov/search?q=*:*&amp;f.ancestorNaIds=3506106" TargetMode="External"/><Relationship Id="rId2221" Type="http://schemas.openxmlformats.org/officeDocument/2006/relationships/hyperlink" Target="https://search.ancestryinstitution.com/aird/search/db.aspx?dbid=2507" TargetMode="External"/><Relationship Id="rId1030" Type="http://schemas.openxmlformats.org/officeDocument/2006/relationships/hyperlink" Target="https://search.ancestryinstitution.com/aird/search/db.aspx?dbid=9220" TargetMode="External"/><Relationship Id="rId400" Type="http://schemas.openxmlformats.org/officeDocument/2006/relationships/hyperlink" Target="https://search.ancestryinstitution.com/search/db.aspx?dbid=1005" TargetMode="External"/><Relationship Id="rId1987" Type="http://schemas.openxmlformats.org/officeDocument/2006/relationships/hyperlink" Target="https://catalog.archives.gov/search-within/300398?page=2&amp;q=record.microformPublications.identifier%3AM1994&amp;sort=naId%3Aasc" TargetMode="External"/><Relationship Id="rId1847" Type="http://schemas.openxmlformats.org/officeDocument/2006/relationships/hyperlink" Target="https://search.ancestryinstitution.com/aird/search/db.aspx?dbid=1116" TargetMode="External"/><Relationship Id="rId1707" Type="http://schemas.openxmlformats.org/officeDocument/2006/relationships/hyperlink" Target="https://catalog.archives.gov/search?q=M1524&amp;f.ancestorNaIds=618171&amp;sort=naIdSort%20asc" TargetMode="External"/><Relationship Id="rId3062" Type="http://schemas.openxmlformats.org/officeDocument/2006/relationships/hyperlink" Target="https://search.ancestryinstitution.com/aird/search/db.aspx?dbid=2504" TargetMode="External"/><Relationship Id="rId190" Type="http://schemas.openxmlformats.org/officeDocument/2006/relationships/hyperlink" Target="https://search.ancestryinstitution.com/aird/search/db.aspx?dbid=2058" TargetMode="External"/><Relationship Id="rId1914" Type="http://schemas.openxmlformats.org/officeDocument/2006/relationships/hyperlink" Target="http://familysearch.org/" TargetMode="External"/><Relationship Id="rId2688" Type="http://schemas.openxmlformats.org/officeDocument/2006/relationships/hyperlink" Target="https://search.ancestryinstitution.com/aird/search/db.aspx?dbid=2509" TargetMode="External"/><Relationship Id="rId2895" Type="http://schemas.openxmlformats.org/officeDocument/2006/relationships/hyperlink" Target="https://search.ancestryinstitution.com/aird/search/db.aspx?dbid=2507" TargetMode="External"/><Relationship Id="rId867" Type="http://schemas.openxmlformats.org/officeDocument/2006/relationships/hyperlink" Target="https://search.ancestryinstitution.com/aird/search/db.aspx?dbid=7949" TargetMode="External"/><Relationship Id="rId1497" Type="http://schemas.openxmlformats.org/officeDocument/2006/relationships/hyperlink" Target="http://www.fold3.com/title_771/" TargetMode="External"/><Relationship Id="rId2548" Type="http://schemas.openxmlformats.org/officeDocument/2006/relationships/hyperlink" Target="https://search.ancestryinstitution.com/aird/search/db.aspx?dbid=2503" TargetMode="External"/><Relationship Id="rId2755" Type="http://schemas.openxmlformats.org/officeDocument/2006/relationships/hyperlink" Target="https://search.ancestryinstitution.com/aird/search/db.aspx?dbid=2507" TargetMode="External"/><Relationship Id="rId2962" Type="http://schemas.openxmlformats.org/officeDocument/2006/relationships/hyperlink" Target="https://search.ancestryinstitution.com/aird/search/db.aspx?dbid=60593" TargetMode="External"/><Relationship Id="rId727" Type="http://schemas.openxmlformats.org/officeDocument/2006/relationships/hyperlink" Target="https://search.ancestryinstitution.com/aird/search/db.aspx?dbid=9128" TargetMode="External"/><Relationship Id="rId934" Type="http://schemas.openxmlformats.org/officeDocument/2006/relationships/hyperlink" Target="https://catalog.archives.gov/search?q=*:*&amp;f.ancestorNaIds=2843160&amp;sort=naIdSort%20asc" TargetMode="External"/><Relationship Id="rId1357" Type="http://schemas.openxmlformats.org/officeDocument/2006/relationships/hyperlink" Target="http://www.footnote.com/title_871/" TargetMode="External"/><Relationship Id="rId1564" Type="http://schemas.openxmlformats.org/officeDocument/2006/relationships/hyperlink" Target="http://www.fold3.com/title_809/" TargetMode="External"/><Relationship Id="rId1771" Type="http://schemas.openxmlformats.org/officeDocument/2006/relationships/hyperlink" Target="https://search.ancestryinstitution.com/aird/search/db.aspx?dbid=1554" TargetMode="External"/><Relationship Id="rId2408" Type="http://schemas.openxmlformats.org/officeDocument/2006/relationships/hyperlink" Target="https://search.ancestryinstitution.com/aird/search/db.aspx?dbid=1850" TargetMode="External"/><Relationship Id="rId2615" Type="http://schemas.openxmlformats.org/officeDocument/2006/relationships/hyperlink" Target="https://search.ancestryinstitution.com/aird/search/db.aspx?dbid=2505" TargetMode="External"/><Relationship Id="rId2822" Type="http://schemas.openxmlformats.org/officeDocument/2006/relationships/hyperlink" Target="https://www.familysearch.org/search/catalog/results?count=20&amp;query=%2Bkeywords%3A4532642%20%2Bkeywords%3ANational%20%2Bkeywords%3AArchives" TargetMode="External"/><Relationship Id="rId63" Type="http://schemas.openxmlformats.org/officeDocument/2006/relationships/hyperlink" Target="https://catalog.archives.gov/search-within/2839306?availableOnline=true&amp;sort=naId%3Aasc" TargetMode="External"/><Relationship Id="rId1217" Type="http://schemas.openxmlformats.org/officeDocument/2006/relationships/hyperlink" Target="https://search.ancestryinstitution.com/aird/search/db.aspx?dbid=1668" TargetMode="External"/><Relationship Id="rId1424" Type="http://schemas.openxmlformats.org/officeDocument/2006/relationships/hyperlink" Target="https://familysearch.org/search/collection/2075263" TargetMode="External"/><Relationship Id="rId1631" Type="http://schemas.openxmlformats.org/officeDocument/2006/relationships/hyperlink" Target="https://search.ancestryinstitution.com/aird/search/db.aspx?dbid=8945" TargetMode="External"/><Relationship Id="rId3389" Type="http://schemas.openxmlformats.org/officeDocument/2006/relationships/comments" Target="../comments1.xml"/><Relationship Id="rId2198" Type="http://schemas.openxmlformats.org/officeDocument/2006/relationships/hyperlink" Target="https://search.ancestryinstitution.com/aird/search/db.aspx?dbid=1002" TargetMode="External"/><Relationship Id="rId3249" Type="http://schemas.openxmlformats.org/officeDocument/2006/relationships/hyperlink" Target="https://www.familysearch.org/search/catalog/4092161" TargetMode="External"/><Relationship Id="rId377" Type="http://schemas.openxmlformats.org/officeDocument/2006/relationships/hyperlink" Target="https://www.ancestryinstitution.com/search/collections/1242/" TargetMode="External"/><Relationship Id="rId584" Type="http://schemas.openxmlformats.org/officeDocument/2006/relationships/hyperlink" Target="https://search.ancestryinstitution.com/aird/search/db.aspx?dbid=1502" TargetMode="External"/><Relationship Id="rId2058" Type="http://schemas.openxmlformats.org/officeDocument/2006/relationships/hyperlink" Target="https://catalog.archives.gov/search-within/563728" TargetMode="External"/><Relationship Id="rId2265" Type="http://schemas.openxmlformats.org/officeDocument/2006/relationships/hyperlink" Target="https://www.familysearch.org/wiki/en/Missouri_Naturalization_and_Citizenship" TargetMode="External"/><Relationship Id="rId3109" Type="http://schemas.openxmlformats.org/officeDocument/2006/relationships/hyperlink" Target="https://catalog.archives.gov/search-within/7551466" TargetMode="External"/><Relationship Id="rId237" Type="http://schemas.openxmlformats.org/officeDocument/2006/relationships/hyperlink" Target="https://catalog.archives.gov/search?q=*:*&amp;f.ancestorNaIds=578684&amp;sort=naIdSort%20asc" TargetMode="External"/><Relationship Id="rId791" Type="http://schemas.openxmlformats.org/officeDocument/2006/relationships/hyperlink" Target="https://catalog.archives.gov/search?q=A3768&amp;f.ancestorNaIds=2825557" TargetMode="External"/><Relationship Id="rId1074" Type="http://schemas.openxmlformats.org/officeDocument/2006/relationships/hyperlink" Target="https://search.ancestryinstitution.com/aird/search/db.aspx?dbid=8842" TargetMode="External"/><Relationship Id="rId2472" Type="http://schemas.openxmlformats.org/officeDocument/2006/relationships/hyperlink" Target="https://search.ancestryinstitution.com/aird/search/db.aspx?dbid=2500" TargetMode="External"/><Relationship Id="rId3316" Type="http://schemas.openxmlformats.org/officeDocument/2006/relationships/hyperlink" Target="https://catalog.archives.gov/search?q=*:*&amp;f.ancestorNaIds=148373459&amp;sort=naIdSort%20asc" TargetMode="External"/><Relationship Id="rId444" Type="http://schemas.openxmlformats.org/officeDocument/2006/relationships/hyperlink" Target="https://search.ancestryinstitution.com/search/db.aspx?dbid=7949" TargetMode="External"/><Relationship Id="rId651" Type="http://schemas.openxmlformats.org/officeDocument/2006/relationships/hyperlink" Target="https://catalog.archives.gov/search?q=*:*&amp;f.ancestorNaIds=2790508&amp;sort=naIdSort%20asc" TargetMode="External"/><Relationship Id="rId1281" Type="http://schemas.openxmlformats.org/officeDocument/2006/relationships/hyperlink" Target="https://search.ancestryinstitution.com/aird/search/db.aspx?dbid=8054" TargetMode="External"/><Relationship Id="rId2125" Type="http://schemas.openxmlformats.org/officeDocument/2006/relationships/hyperlink" Target="https://search.ancestryinstitution.com/aird/search/db.aspx?dbid=2509" TargetMode="External"/><Relationship Id="rId2332" Type="http://schemas.openxmlformats.org/officeDocument/2006/relationships/hyperlink" Target="https://catalog.archives.gov/search?q=*:*&amp;f.ancestorNaIds=1154987&amp;sort=naIdSort%20asc" TargetMode="External"/><Relationship Id="rId304" Type="http://schemas.openxmlformats.org/officeDocument/2006/relationships/hyperlink" Target="https://catalog.archives.gov/search?q=*:*&amp;f.ancestorNaIds=7820290&amp;sort=naIdSort%20asc" TargetMode="External"/><Relationship Id="rId511" Type="http://schemas.openxmlformats.org/officeDocument/2006/relationships/hyperlink" Target="https://catalog.archives.gov/search?q=*:*&amp;f.ancestorNaIds=3997688&amp;sort=naIdSort%20asc" TargetMode="External"/><Relationship Id="rId1141" Type="http://schemas.openxmlformats.org/officeDocument/2006/relationships/hyperlink" Target="https://familysearch.org/search/collection/2019254" TargetMode="External"/><Relationship Id="rId1001" Type="http://schemas.openxmlformats.org/officeDocument/2006/relationships/hyperlink" Target="https://search.ancestryinstitution.com/aird/search/db.aspx?dbid=60579" TargetMode="External"/><Relationship Id="rId1958" Type="http://schemas.openxmlformats.org/officeDocument/2006/relationships/hyperlink" Target="http://www.fold3.com/title_759/roberts_commission_protection_of/" TargetMode="External"/><Relationship Id="rId3173" Type="http://schemas.openxmlformats.org/officeDocument/2006/relationships/hyperlink" Target="https://search.ancestryinstitution.com/aird/search/db.aspx?dbid=2238" TargetMode="External"/><Relationship Id="rId3380" Type="http://schemas.openxmlformats.org/officeDocument/2006/relationships/hyperlink" Target="https://catalog.archives.gov/search?q=T1196&amp;f.ancestorNaIds=1104361" TargetMode="External"/><Relationship Id="rId1818" Type="http://schemas.openxmlformats.org/officeDocument/2006/relationships/hyperlink" Target="https://search.ancestryinstitution.com/aird/search/db.aspx?dbid=1082" TargetMode="External"/><Relationship Id="rId3033" Type="http://schemas.openxmlformats.org/officeDocument/2006/relationships/hyperlink" Target="https://catalog.archives.gov/search-within/6037952" TargetMode="External"/><Relationship Id="rId3240" Type="http://schemas.openxmlformats.org/officeDocument/2006/relationships/hyperlink" Target="https://catalog.archives.gov/search?q=*:*&amp;f.ancestorNaIds=82783438&amp;sort=naIdSort%20asc" TargetMode="External"/><Relationship Id="rId161" Type="http://schemas.openxmlformats.org/officeDocument/2006/relationships/hyperlink" Target="https://catalog.archives.gov/search-within/3060148?availableOnline=true&amp;sort=naId%3Aasc" TargetMode="External"/><Relationship Id="rId2799" Type="http://schemas.openxmlformats.org/officeDocument/2006/relationships/hyperlink" Target="https://catalog.archives.gov/search?q=*:*&amp;f.ancestorNaIds=4522204&amp;sort=naIdSort%20asc" TargetMode="External"/><Relationship Id="rId3100" Type="http://schemas.openxmlformats.org/officeDocument/2006/relationships/hyperlink" Target="https://catalog.archives.gov/search-within/7551462" TargetMode="External"/><Relationship Id="rId978" Type="http://schemas.openxmlformats.org/officeDocument/2006/relationships/hyperlink" Target="https://catalog.archives.gov/search?q=A4055&amp;f.ancestorNaIds=2839629" TargetMode="External"/><Relationship Id="rId2659" Type="http://schemas.openxmlformats.org/officeDocument/2006/relationships/hyperlink" Target="https://familysearch.org/search/collection/2285702" TargetMode="External"/><Relationship Id="rId2866" Type="http://schemas.openxmlformats.org/officeDocument/2006/relationships/hyperlink" Target="https://catalog.archives.gov/search?q=*:*&amp;f.ancestorNaIds=4693987&amp;sort=naIdSort%20asc" TargetMode="External"/><Relationship Id="rId838" Type="http://schemas.openxmlformats.org/officeDocument/2006/relationships/hyperlink" Target="https://catalog.archives.gov/search?q=A3849&amp;f.ancestorNaIds=2805751&amp;sort=naIdSort%20asc" TargetMode="External"/><Relationship Id="rId1468" Type="http://schemas.openxmlformats.org/officeDocument/2006/relationships/hyperlink" Target="https://familysearch.org/search/collection/2427894" TargetMode="External"/><Relationship Id="rId1675" Type="http://schemas.openxmlformats.org/officeDocument/2006/relationships/hyperlink" Target="https://catalog.archives.gov/search?q=*:*&amp;f.ancestorNaIds=4527204&amp;sort=naIdSort%20asc" TargetMode="External"/><Relationship Id="rId1882" Type="http://schemas.openxmlformats.org/officeDocument/2006/relationships/hyperlink" Target="https://catalog.archives.gov/search-within/300398?page=3&amp;q=record.microformPublications.identifier%3AM1821&amp;sort=naId%3Aasc" TargetMode="External"/><Relationship Id="rId2519" Type="http://schemas.openxmlformats.org/officeDocument/2006/relationships/hyperlink" Target="https://search.ancestryinstitution.com/aird/search/db.aspx?dbid=1714" TargetMode="External"/><Relationship Id="rId2726" Type="http://schemas.openxmlformats.org/officeDocument/2006/relationships/hyperlink" Target="https://catalog.archives.gov/search?q=*:*&amp;f.ancestorNaIds=4486504&amp;sort=naIdSort%20asc" TargetMode="External"/><Relationship Id="rId1328" Type="http://schemas.openxmlformats.org/officeDocument/2006/relationships/hyperlink" Target="http://www.fold3.com/title_826/" TargetMode="External"/><Relationship Id="rId1535" Type="http://schemas.openxmlformats.org/officeDocument/2006/relationships/hyperlink" Target="https://catalog.archives.gov/search?q=*:*&amp;f.ancestorNaIds=656621&amp;sort=naIdSort%20asc" TargetMode="External"/><Relationship Id="rId2933" Type="http://schemas.openxmlformats.org/officeDocument/2006/relationships/hyperlink" Target="https://www.familysearch.org/search/collection/2075263" TargetMode="External"/><Relationship Id="rId905" Type="http://schemas.openxmlformats.org/officeDocument/2006/relationships/hyperlink" Target="https://search.ancestryinstitution.com/aird/search/db.aspx?dbid=60882" TargetMode="External"/><Relationship Id="rId1742" Type="http://schemas.openxmlformats.org/officeDocument/2006/relationships/hyperlink" Target="https://catalog.archives.gov/search?q=M1613&amp;f.recordGroupNoCollectionId=SAN&amp;f.level=fileunit&amp;f.oldScope=online" TargetMode="External"/><Relationship Id="rId34" Type="http://schemas.openxmlformats.org/officeDocument/2006/relationships/hyperlink" Target="https://catalog.archives.gov/search-within/2843010?availableOnline=true&amp;sort=naId%3Aasc" TargetMode="External"/><Relationship Id="rId1602" Type="http://schemas.openxmlformats.org/officeDocument/2006/relationships/hyperlink" Target="https://www.ancestry.com/search/collections/navypensionapplications/" TargetMode="External"/><Relationship Id="rId488" Type="http://schemas.openxmlformats.org/officeDocument/2006/relationships/hyperlink" Target="https://search.ancestryinstitution.com/search/db.aspx?dbid=8987" TargetMode="External"/><Relationship Id="rId695" Type="http://schemas.openxmlformats.org/officeDocument/2006/relationships/hyperlink" Target="https://catalog.archives.gov/search?q=*:*&amp;f.ancestorNaIds=2790482&amp;sort=naIdSort%20asc" TargetMode="External"/><Relationship Id="rId2169" Type="http://schemas.openxmlformats.org/officeDocument/2006/relationships/hyperlink" Target="https://catalog.archives.gov/search-within/604769" TargetMode="External"/><Relationship Id="rId2376" Type="http://schemas.openxmlformats.org/officeDocument/2006/relationships/hyperlink" Target="https://catalog.archives.gov/search?q=*:*&amp;f.ancestorNaIds=1262766&amp;sort=naIdSort%20asc" TargetMode="External"/><Relationship Id="rId2583" Type="http://schemas.openxmlformats.org/officeDocument/2006/relationships/hyperlink" Target="https://familysearch.org/search/collection/2173973" TargetMode="External"/><Relationship Id="rId2790" Type="http://schemas.openxmlformats.org/officeDocument/2006/relationships/hyperlink" Target="http://familysearch.org/" TargetMode="External"/><Relationship Id="rId348" Type="http://schemas.openxmlformats.org/officeDocument/2006/relationships/hyperlink" Target="https://catalog.archives.gov/search?q=*:*&amp;f.ancestorNaIds=55287630&amp;sort=naIdSort%20asc" TargetMode="External"/><Relationship Id="rId555" Type="http://schemas.openxmlformats.org/officeDocument/2006/relationships/hyperlink" Target="https://catalog.archives.gov/search?q=A3489&amp;f.ancestorNaIds=2857330&amp;sort=naIdSort%20asc" TargetMode="External"/><Relationship Id="rId762" Type="http://schemas.openxmlformats.org/officeDocument/2006/relationships/hyperlink" Target="https://search.ancestryinstitution.com/aird/search/db.aspx?dbid=9122" TargetMode="External"/><Relationship Id="rId1185" Type="http://schemas.openxmlformats.org/officeDocument/2006/relationships/hyperlink" Target="https://search.ancestry.com/search/db.aspx?dbid=2322" TargetMode="External"/><Relationship Id="rId1392" Type="http://schemas.openxmlformats.org/officeDocument/2006/relationships/hyperlink" Target="https://search.ancestryinstitution.com/aird/search/db.aspx?dbid=1225" TargetMode="External"/><Relationship Id="rId2029" Type="http://schemas.openxmlformats.org/officeDocument/2006/relationships/hyperlink" Target="https://catalog.archives.gov/search?q=*:*&amp;f.ancestorNaIds=594996&amp;sort=naIdSort%20asc" TargetMode="External"/><Relationship Id="rId2236" Type="http://schemas.openxmlformats.org/officeDocument/2006/relationships/hyperlink" Target="https://catalog.archives.gov/search?q=*:*&amp;f.ancestorNaIds=656639&amp;sort=naIdSort%20asc" TargetMode="External"/><Relationship Id="rId2443" Type="http://schemas.openxmlformats.org/officeDocument/2006/relationships/hyperlink" Target="https://familysearch.org/search/collection/1916286" TargetMode="External"/><Relationship Id="rId2650" Type="http://schemas.openxmlformats.org/officeDocument/2006/relationships/hyperlink" Target="https://catalog.archives.gov/search-within/3477966" TargetMode="External"/><Relationship Id="rId208" Type="http://schemas.openxmlformats.org/officeDocument/2006/relationships/hyperlink" Target="https://search.ancestryinstitution.com/aird/search/db.aspx?dbid=1105" TargetMode="External"/><Relationship Id="rId415" Type="http://schemas.openxmlformats.org/officeDocument/2006/relationships/hyperlink" Target="https://catalog.archives.gov/search?q=*:*&amp;f.ancestorNaIds=4492771&amp;sort=naIdSort%20asc" TargetMode="External"/><Relationship Id="rId622" Type="http://schemas.openxmlformats.org/officeDocument/2006/relationships/hyperlink" Target="https://catalog.archives.gov/search?q=A3552&amp;f.ancestorNaIds=2945511&amp;sort=naIdSort%20asc" TargetMode="External"/><Relationship Id="rId1045" Type="http://schemas.openxmlformats.org/officeDocument/2006/relationships/hyperlink" Target="https://catalog.archives.gov/search?q=A4152&amp;f.ancestorNaIds=3491461&amp;sort=naIdSort%20asc" TargetMode="External"/><Relationship Id="rId1252" Type="http://schemas.openxmlformats.org/officeDocument/2006/relationships/hyperlink" Target="http://www.fold3.com/title_687/civil_war_soldiers_union_fl/" TargetMode="External"/><Relationship Id="rId2303" Type="http://schemas.openxmlformats.org/officeDocument/2006/relationships/hyperlink" Target="https://familysearch.org/search/collection/2173973" TargetMode="External"/><Relationship Id="rId2510" Type="http://schemas.openxmlformats.org/officeDocument/2006/relationships/hyperlink" Target="https://search.ancestryinstitution.com/aird/search/db.aspx?dbid=2503" TargetMode="External"/><Relationship Id="rId1112" Type="http://schemas.openxmlformats.org/officeDocument/2006/relationships/hyperlink" Target="http://www.fold3.com/title_472/sec_of_the_interior_suppression_of_slave/" TargetMode="External"/><Relationship Id="rId3077" Type="http://schemas.openxmlformats.org/officeDocument/2006/relationships/hyperlink" Target="https://familysearch.org/search/collection/2173973" TargetMode="External"/><Relationship Id="rId3284" Type="http://schemas.openxmlformats.org/officeDocument/2006/relationships/hyperlink" Target="https://aad.archives.gov/aad/fielded-search.jsp?dt=2123&amp;cat=GP44&amp;tf=F&amp;bc=,sl" TargetMode="External"/><Relationship Id="rId1929" Type="http://schemas.openxmlformats.org/officeDocument/2006/relationships/hyperlink" Target="https://search.ancestry.com/search/db.aspx?dbid=1107" TargetMode="External"/><Relationship Id="rId2093" Type="http://schemas.openxmlformats.org/officeDocument/2006/relationships/hyperlink" Target="https://search.ancestryinstitution.com/aird/search/db.aspx?dbid=2509" TargetMode="External"/><Relationship Id="rId3144" Type="http://schemas.openxmlformats.org/officeDocument/2006/relationships/hyperlink" Target="https://catalog.archives.gov/search?q=*:*&amp;f.ancestorNaIds=7644732&amp;sort=naIdSort%20asc" TargetMode="External"/><Relationship Id="rId3351" Type="http://schemas.openxmlformats.org/officeDocument/2006/relationships/hyperlink" Target="https://familysearch.org/search/collection/2173944" TargetMode="External"/><Relationship Id="rId272" Type="http://schemas.openxmlformats.org/officeDocument/2006/relationships/hyperlink" Target="https://catalog.archives.gov/search?q=*:*&amp;f.ancestorNaIds=2261239" TargetMode="External"/><Relationship Id="rId2160" Type="http://schemas.openxmlformats.org/officeDocument/2006/relationships/hyperlink" Target="https://drive.google.com/file/d/1HwiRDhxdUQzf9_pPLHh2kMPbgKcrVegO/view?usp=drive_link" TargetMode="External"/><Relationship Id="rId3004" Type="http://schemas.openxmlformats.org/officeDocument/2006/relationships/hyperlink" Target="https://search.ancestryinstitution.com/aird/search/db.aspx?dbid=6927" TargetMode="External"/><Relationship Id="rId3211" Type="http://schemas.openxmlformats.org/officeDocument/2006/relationships/hyperlink" Target="http://familysearch.org/" TargetMode="External"/><Relationship Id="rId132" Type="http://schemas.openxmlformats.org/officeDocument/2006/relationships/hyperlink" Target="https://search.ancestryinstitution.com/aird/search/db.aspx?dbid=8722" TargetMode="External"/><Relationship Id="rId2020" Type="http://schemas.openxmlformats.org/officeDocument/2006/relationships/hyperlink" Target="https://catalog.archives.gov/search?q=M2110&amp;f.ancestorNaIds=1103570" TargetMode="External"/><Relationship Id="rId1579" Type="http://schemas.openxmlformats.org/officeDocument/2006/relationships/hyperlink" Target="https://catalog.archives.gov/search?q=*:*&amp;f.ancestorNaIds=103403967&amp;sort=naIdSort%20asc" TargetMode="External"/><Relationship Id="rId2977" Type="http://schemas.openxmlformats.org/officeDocument/2006/relationships/hyperlink" Target="https://www.familysearch.org/search/collection/2075263" TargetMode="External"/><Relationship Id="rId949" Type="http://schemas.openxmlformats.org/officeDocument/2006/relationships/hyperlink" Target="https://ancestry.com/" TargetMode="External"/><Relationship Id="rId1786" Type="http://schemas.openxmlformats.org/officeDocument/2006/relationships/hyperlink" Target="https://search.ancestryinstitution.com/aird/search/db.aspx?dbid=1629" TargetMode="External"/><Relationship Id="rId1993" Type="http://schemas.openxmlformats.org/officeDocument/2006/relationships/hyperlink" Target="https://catalog.archives.gov/search?q=*:*&amp;f.ancestorNaIds=286181&amp;sort=naIdSort%20asc" TargetMode="External"/><Relationship Id="rId2837" Type="http://schemas.openxmlformats.org/officeDocument/2006/relationships/hyperlink" Target="https://catalog.archives.gov/search-within/4656354" TargetMode="External"/><Relationship Id="rId78" Type="http://schemas.openxmlformats.org/officeDocument/2006/relationships/hyperlink" Target="https://search.ancestryinstitution.com/search/db.aspx?dbid=8722" TargetMode="External"/><Relationship Id="rId809" Type="http://schemas.openxmlformats.org/officeDocument/2006/relationships/hyperlink" Target="https://search.ancestryinstitution.com/aird/search/db.aspx?dbid=9127" TargetMode="External"/><Relationship Id="rId1439" Type="http://schemas.openxmlformats.org/officeDocument/2006/relationships/hyperlink" Target="https://search.ancestryinstitution.com/aird/search/db.aspx?dbid=1264" TargetMode="External"/><Relationship Id="rId1646" Type="http://schemas.openxmlformats.org/officeDocument/2006/relationships/hyperlink" Target="https://search.ancestryinstitution.com/aird/search/db.aspx?dbid=1357" TargetMode="External"/><Relationship Id="rId1853" Type="http://schemas.openxmlformats.org/officeDocument/2006/relationships/hyperlink" Target="https://catalog.archives.gov/search-within/300398?page=2&amp;q=record.microformPublications.identifier%3AM1789&amp;sort=title%3Aasc" TargetMode="External"/><Relationship Id="rId2904" Type="http://schemas.openxmlformats.org/officeDocument/2006/relationships/hyperlink" Target="https://search.ancestryinstitution.com/aird/search/db.aspx?dbid=2507" TargetMode="External"/><Relationship Id="rId1506" Type="http://schemas.openxmlformats.org/officeDocument/2006/relationships/hyperlink" Target="http://www.footnote.com/title_879/" TargetMode="External"/><Relationship Id="rId1713" Type="http://schemas.openxmlformats.org/officeDocument/2006/relationships/hyperlink" Target="https://www.fold3.com/title/97/naturalization-index-ca-san-diego" TargetMode="External"/><Relationship Id="rId1920" Type="http://schemas.openxmlformats.org/officeDocument/2006/relationships/hyperlink" Target="https://familysearch.org/search/collection/2290427" TargetMode="External"/><Relationship Id="rId599" Type="http://schemas.openxmlformats.org/officeDocument/2006/relationships/hyperlink" Target="https://search.ancestryinstitution.com/aird/search/db.aspx?dbid=7484" TargetMode="External"/><Relationship Id="rId2487" Type="http://schemas.openxmlformats.org/officeDocument/2006/relationships/hyperlink" Target="https://search.ancestryinstitution.com/aird/search/db.aspx?dbid=2500" TargetMode="External"/><Relationship Id="rId2694" Type="http://schemas.openxmlformats.org/officeDocument/2006/relationships/hyperlink" Target="https://search.ancestryinstitution.com/aird/search/db.aspx?dbid=2502" TargetMode="External"/><Relationship Id="rId459" Type="http://schemas.openxmlformats.org/officeDocument/2006/relationships/hyperlink" Target="https://catalog.archives.gov/search?q=*:*&amp;f.ancestorNaIds=4499046&amp;sort=naIdSort%20asc" TargetMode="External"/><Relationship Id="rId666" Type="http://schemas.openxmlformats.org/officeDocument/2006/relationships/hyperlink" Target="https://search.ancestryinstitution.com/aird/search/db.aspx?dbid=9220" TargetMode="External"/><Relationship Id="rId873" Type="http://schemas.openxmlformats.org/officeDocument/2006/relationships/hyperlink" Target="https://search.ancestryinstitution.com/aird/search/db.aspx?dbid=60501" TargetMode="External"/><Relationship Id="rId1089" Type="http://schemas.openxmlformats.org/officeDocument/2006/relationships/hyperlink" Target="https://search.ancestryinstitution.com/aird/search/db.aspx?dbid=2996" TargetMode="External"/><Relationship Id="rId1296" Type="http://schemas.openxmlformats.org/officeDocument/2006/relationships/hyperlink" Target="http://www.fold3.com/title_835/" TargetMode="External"/><Relationship Id="rId2347" Type="http://schemas.openxmlformats.org/officeDocument/2006/relationships/hyperlink" Target="https://catalog.archives.gov/search?q=*:*&amp;f.ancestorNaIds=1244178&amp;sort=naIdSort%20asc" TargetMode="External"/><Relationship Id="rId2554" Type="http://schemas.openxmlformats.org/officeDocument/2006/relationships/hyperlink" Target="https://search.ancestryinstitution.com/aird/search/db.aspx?dbid=2503" TargetMode="External"/><Relationship Id="rId319" Type="http://schemas.openxmlformats.org/officeDocument/2006/relationships/hyperlink" Target="https://catalog.archives.gov/search?q=*:*&amp;f.ancestorNaIds=24329957" TargetMode="External"/><Relationship Id="rId526" Type="http://schemas.openxmlformats.org/officeDocument/2006/relationships/hyperlink" Target="https://search.ancestryinstitution.com/search/db.aspx?dbid=1082" TargetMode="External"/><Relationship Id="rId1156" Type="http://schemas.openxmlformats.org/officeDocument/2006/relationships/hyperlink" Target="https://catalog.archives.gov/search?q=M269&amp;f.ancestorNaIds=586957&amp;f.level=fileUnit" TargetMode="External"/><Relationship Id="rId1363" Type="http://schemas.openxmlformats.org/officeDocument/2006/relationships/hyperlink" Target="https://search.ancestryinstitution.com/aird/search/db.aspx?dbid=1267" TargetMode="External"/><Relationship Id="rId2207" Type="http://schemas.openxmlformats.org/officeDocument/2006/relationships/hyperlink" Target="https://search.ancestryinstitution.com/aird/search/db.aspx?dbid=2506" TargetMode="External"/><Relationship Id="rId2761" Type="http://schemas.openxmlformats.org/officeDocument/2006/relationships/hyperlink" Target="https://www.familysearch.org/wiki/en/Puerto_Rico,_Naturalization_Records_-_FamilySearch_Historical_Records" TargetMode="External"/><Relationship Id="rId733" Type="http://schemas.openxmlformats.org/officeDocument/2006/relationships/hyperlink" Target="https://search.ancestryinstitution.com/aird/search/db.aspx?dbid=9220" TargetMode="External"/><Relationship Id="rId940" Type="http://schemas.openxmlformats.org/officeDocument/2006/relationships/hyperlink" Target="https://catalog.archives.gov/search?q=*:*&amp;f.ancestorNaIds=2774955&amp;sort=naIdSort%20asc" TargetMode="External"/><Relationship Id="rId1016" Type="http://schemas.openxmlformats.org/officeDocument/2006/relationships/hyperlink" Target="https://catalog.archives.gov/search?q=A4100&amp;f.ancestorNaIds=3431514&amp;sort=naIdSort%20asc" TargetMode="External"/><Relationship Id="rId1570" Type="http://schemas.openxmlformats.org/officeDocument/2006/relationships/hyperlink" Target="https://search.ancestryinstitution.com/aird/search/db.aspx?dbid=1173" TargetMode="External"/><Relationship Id="rId2414" Type="http://schemas.openxmlformats.org/officeDocument/2006/relationships/hyperlink" Target="https://catalog.archives.gov/search?q=*:*&amp;f.ancestorNaIds=2111797&amp;sort=naIdSort%20asc" TargetMode="External"/><Relationship Id="rId2621" Type="http://schemas.openxmlformats.org/officeDocument/2006/relationships/hyperlink" Target="https://catalog.archives.gov/search-within/2867051" TargetMode="External"/><Relationship Id="rId800" Type="http://schemas.openxmlformats.org/officeDocument/2006/relationships/hyperlink" Target="https://search.ancestryinstitution.com/aird/search/db.aspx?dbid=9220" TargetMode="External"/><Relationship Id="rId1223" Type="http://schemas.openxmlformats.org/officeDocument/2006/relationships/hyperlink" Target="http://www.fold3.com/title_836/" TargetMode="External"/><Relationship Id="rId1430" Type="http://schemas.openxmlformats.org/officeDocument/2006/relationships/hyperlink" Target="https://familysearch.org/search/collection/2075263" TargetMode="External"/><Relationship Id="rId3188" Type="http://schemas.openxmlformats.org/officeDocument/2006/relationships/hyperlink" Target="https://catalog.archives.gov/search?q=*:*&amp;f.ancestorNaIds=7820334&amp;sort=naIdSort%20asc" TargetMode="External"/><Relationship Id="rId3048" Type="http://schemas.openxmlformats.org/officeDocument/2006/relationships/hyperlink" Target="https://catalog.archives.gov/search?q=*:*&amp;f.ancestorNaIds=6126829&amp;sort=naIdSort%20asc&amp;f.oldScope=online" TargetMode="External"/><Relationship Id="rId3255" Type="http://schemas.openxmlformats.org/officeDocument/2006/relationships/hyperlink" Target="https://search.ancestryinstitution.com/aird/search/db.aspx?dbid=2512" TargetMode="External"/><Relationship Id="rId176" Type="http://schemas.openxmlformats.org/officeDocument/2006/relationships/hyperlink" Target="https://catalog.archives.gov/search-within/3005335?availableOnline=true&amp;sort=naId%3Aasc" TargetMode="External"/><Relationship Id="rId383" Type="http://schemas.openxmlformats.org/officeDocument/2006/relationships/hyperlink" Target="http://familysearch.org/" TargetMode="External"/><Relationship Id="rId590" Type="http://schemas.openxmlformats.org/officeDocument/2006/relationships/hyperlink" Target="https://search.ancestryinstitution.com/aird/search/db.aspx?dbid=9220" TargetMode="External"/><Relationship Id="rId2064" Type="http://schemas.openxmlformats.org/officeDocument/2006/relationships/hyperlink" Target="https://catalog.archives.gov/search-within/563870" TargetMode="External"/><Relationship Id="rId2271" Type="http://schemas.openxmlformats.org/officeDocument/2006/relationships/hyperlink" Target="https://catalog.archives.gov/search?q=*:*&amp;f.ancestorNaIds=788673&amp;sort=naIdSort%20asc" TargetMode="External"/><Relationship Id="rId3115" Type="http://schemas.openxmlformats.org/officeDocument/2006/relationships/hyperlink" Target="https://search.ancestryinstitution.com/aird/search/db.aspx?dbid=60593" TargetMode="External"/><Relationship Id="rId3322" Type="http://schemas.openxmlformats.org/officeDocument/2006/relationships/hyperlink" Target="https://www.fold3.com/title/57/civil-war-pensions-index" TargetMode="External"/><Relationship Id="rId243" Type="http://schemas.openxmlformats.org/officeDocument/2006/relationships/hyperlink" Target="https://search.ancestryinstitution.com/aird/search/db.aspx?dbid=60507" TargetMode="External"/><Relationship Id="rId450" Type="http://schemas.openxmlformats.org/officeDocument/2006/relationships/hyperlink" Target="https://search.ancestryinstitution.com/search/db.aspx?dbid=1502" TargetMode="External"/><Relationship Id="rId1080" Type="http://schemas.openxmlformats.org/officeDocument/2006/relationships/hyperlink" Target="https://ancestry.com/" TargetMode="External"/><Relationship Id="rId2131" Type="http://schemas.openxmlformats.org/officeDocument/2006/relationships/hyperlink" Target="https://search.ancestryinstitution.com/aird/search/db.aspx?dbid=2509" TargetMode="External"/><Relationship Id="rId103" Type="http://schemas.openxmlformats.org/officeDocument/2006/relationships/hyperlink" Target="https://catalog.archives.gov/search-within/2990031?availableOnline=true&amp;sort=naId%3Aasc" TargetMode="External"/><Relationship Id="rId310" Type="http://schemas.openxmlformats.org/officeDocument/2006/relationships/hyperlink" Target="https://catalog.archives.gov/search?q=*:*&amp;f.ancestorNaIds=24200282" TargetMode="External"/><Relationship Id="rId1897" Type="http://schemas.openxmlformats.org/officeDocument/2006/relationships/hyperlink" Target="https://familysearch.org/search/collection/2300674" TargetMode="External"/><Relationship Id="rId2948" Type="http://schemas.openxmlformats.org/officeDocument/2006/relationships/hyperlink" Target="https://search.ancestryinstitution.com/aird/search/db.aspx?dbid=2501" TargetMode="External"/><Relationship Id="rId1757" Type="http://schemas.openxmlformats.org/officeDocument/2006/relationships/hyperlink" Target="https://search.ancestryinstitution.com/aird/search/db.aspx?dbid=2127" TargetMode="External"/><Relationship Id="rId1964" Type="http://schemas.openxmlformats.org/officeDocument/2006/relationships/hyperlink" Target="https://search.ancestryinstitution.com/aird/search/db.aspx?dbid=2362" TargetMode="External"/><Relationship Id="rId2808" Type="http://schemas.openxmlformats.org/officeDocument/2006/relationships/hyperlink" Target="https://search.ancestryinstitution.com/aird/search/db.aspx?dbid=2512" TargetMode="External"/><Relationship Id="rId49" Type="http://schemas.openxmlformats.org/officeDocument/2006/relationships/hyperlink" Target="https://catalog.archives.gov/search-within/2837842?availableOnline=true&amp;sort=naId%3Aasc" TargetMode="External"/><Relationship Id="rId1617" Type="http://schemas.openxmlformats.org/officeDocument/2006/relationships/hyperlink" Target="https://search.ancestryinstitution.com/aird/search/db.aspx?dbid=8758" TargetMode="External"/><Relationship Id="rId1824" Type="http://schemas.openxmlformats.org/officeDocument/2006/relationships/hyperlink" Target="https://familysearch.org/search/collection/1916084" TargetMode="External"/><Relationship Id="rId2598" Type="http://schemas.openxmlformats.org/officeDocument/2006/relationships/hyperlink" Target="https://search.ancestryinstitution.com/aird/search/db.aspx?dbid=60552" TargetMode="External"/><Relationship Id="rId777" Type="http://schemas.openxmlformats.org/officeDocument/2006/relationships/hyperlink" Target="https://catalog.archives.gov/search?q=A3744&amp;f.ancestorNaIds=2839438" TargetMode="External"/><Relationship Id="rId984" Type="http://schemas.openxmlformats.org/officeDocument/2006/relationships/hyperlink" Target="https://catalog.archives.gov/search?q=A4067&amp;f.ancestorNaIds=3318890&amp;sort=naIdSort%20asc" TargetMode="External"/><Relationship Id="rId2458" Type="http://schemas.openxmlformats.org/officeDocument/2006/relationships/hyperlink" Target="https://catalog.archives.gov/search?q=*:*&amp;f.ancestorNaIds=2216867&amp;sort=naIdSort%20asc" TargetMode="External"/><Relationship Id="rId2665" Type="http://schemas.openxmlformats.org/officeDocument/2006/relationships/hyperlink" Target="https://search.ancestryinstitution.com/aird/search/db.aspx?dbid=2500" TargetMode="External"/><Relationship Id="rId2872" Type="http://schemas.openxmlformats.org/officeDocument/2006/relationships/hyperlink" Target="https://catalog.archives.gov/search?q=*:*&amp;f.ancestorNaIds=4695969&amp;sort=titleSort%20asc" TargetMode="External"/><Relationship Id="rId637" Type="http://schemas.openxmlformats.org/officeDocument/2006/relationships/hyperlink" Target="https://search.ancestryinstitution.com/aird/search/db.aspx?dbid=1502" TargetMode="External"/><Relationship Id="rId844" Type="http://schemas.openxmlformats.org/officeDocument/2006/relationships/hyperlink" Target="https://search.ancestryinstitution.com/aird/search/db.aspx?dbid=60882" TargetMode="External"/><Relationship Id="rId1267" Type="http://schemas.openxmlformats.org/officeDocument/2006/relationships/hyperlink" Target="https://www.fold3.com/title/52/civil-war-service-records-cmsr-union-mississippi" TargetMode="External"/><Relationship Id="rId1474" Type="http://schemas.openxmlformats.org/officeDocument/2006/relationships/hyperlink" Target="https://familysearch.org/search/collection/2427901" TargetMode="External"/><Relationship Id="rId1681" Type="http://schemas.openxmlformats.org/officeDocument/2006/relationships/hyperlink" Target="https://familysearch.org/search/collection/1803785" TargetMode="External"/><Relationship Id="rId2318" Type="http://schemas.openxmlformats.org/officeDocument/2006/relationships/hyperlink" Target="https://search.ancestryinstitution.com/aird/search/db.aspx?dbid=1174" TargetMode="External"/><Relationship Id="rId2525" Type="http://schemas.openxmlformats.org/officeDocument/2006/relationships/hyperlink" Target="http://www.fold3.com/title_765/" TargetMode="External"/><Relationship Id="rId2732" Type="http://schemas.openxmlformats.org/officeDocument/2006/relationships/hyperlink" Target="https://catalog.archives.gov/search?q=*:*&amp;f.ancestorNaIds=4488767&amp;sort=naIdSort%20asc" TargetMode="External"/><Relationship Id="rId704" Type="http://schemas.openxmlformats.org/officeDocument/2006/relationships/hyperlink" Target="https://search.ancestryinstitution.com/aird/search/db.aspx?dbid=9220" TargetMode="External"/><Relationship Id="rId911" Type="http://schemas.openxmlformats.org/officeDocument/2006/relationships/hyperlink" Target="https://catalog.archives.gov/search?q=A3961&amp;f.ancestorNaIds=2953528&amp;sort=naIdSort%20asc" TargetMode="External"/><Relationship Id="rId1127" Type="http://schemas.openxmlformats.org/officeDocument/2006/relationships/hyperlink" Target="https://www.fold3.com/title/30/civil-war-service-records-cmsr-confederate-florida" TargetMode="External"/><Relationship Id="rId1334" Type="http://schemas.openxmlformats.org/officeDocument/2006/relationships/hyperlink" Target="http://www.fold3.com/title_791/" TargetMode="External"/><Relationship Id="rId1541" Type="http://schemas.openxmlformats.org/officeDocument/2006/relationships/hyperlink" Target="https://familysearch.org/search/collection/2427894" TargetMode="External"/><Relationship Id="rId40" Type="http://schemas.openxmlformats.org/officeDocument/2006/relationships/hyperlink" Target="https://search.ancestryinstitution.com/aird/search/db.aspx?dbid=8945" TargetMode="External"/><Relationship Id="rId1401" Type="http://schemas.openxmlformats.org/officeDocument/2006/relationships/hyperlink" Target="https://search.ancestryinstitution.com/aird/search/db.aspx?dbid=1264" TargetMode="External"/><Relationship Id="rId3299" Type="http://schemas.openxmlformats.org/officeDocument/2006/relationships/hyperlink" Target="https://familysearch.org/search/collection/2043779" TargetMode="External"/><Relationship Id="rId3159" Type="http://schemas.openxmlformats.org/officeDocument/2006/relationships/hyperlink" Target="https://search.ancestryinstitution.com/aird/search/db.aspx?dbid=2238" TargetMode="External"/><Relationship Id="rId3366" Type="http://schemas.openxmlformats.org/officeDocument/2006/relationships/hyperlink" Target="http://www.footnote.com/title_65/" TargetMode="External"/><Relationship Id="rId287" Type="http://schemas.openxmlformats.org/officeDocument/2006/relationships/hyperlink" Target="https://search.ancestryinstitution.com/aird/search/db.aspx?dbid=2505" TargetMode="External"/><Relationship Id="rId494" Type="http://schemas.openxmlformats.org/officeDocument/2006/relationships/hyperlink" Target="https://catalog.archives.gov/search?q=*:*&amp;f.ancestorNaIds=4477083&amp;sort=naIdSort%20asc" TargetMode="External"/><Relationship Id="rId2175" Type="http://schemas.openxmlformats.org/officeDocument/2006/relationships/hyperlink" Target="https://search.ancestryinstitution.com/aird/search/db.aspx?dbid=60615" TargetMode="External"/><Relationship Id="rId2382" Type="http://schemas.openxmlformats.org/officeDocument/2006/relationships/hyperlink" Target="https://search.ancestryinstitution.com/aird/search/db.aspx?dbid=2512" TargetMode="External"/><Relationship Id="rId3019" Type="http://schemas.openxmlformats.org/officeDocument/2006/relationships/hyperlink" Target="https://www.fold3.com/title_816/wwii_draft_registration_cards" TargetMode="External"/><Relationship Id="rId3226" Type="http://schemas.openxmlformats.org/officeDocument/2006/relationships/hyperlink" Target="https://catalog.archives.gov/search?q=*:*&amp;f.ancestorNaIds=81448584&amp;sort=naIdSort%20asc" TargetMode="External"/><Relationship Id="rId147" Type="http://schemas.openxmlformats.org/officeDocument/2006/relationships/hyperlink" Target="https://catalog.archives.gov/search-within/4497930?availableOnline=true&amp;sort=naId%3Aasc" TargetMode="External"/><Relationship Id="rId354" Type="http://schemas.openxmlformats.org/officeDocument/2006/relationships/hyperlink" Target="https://search.ancestryinstitution.com/search/db.aspx?dbid=7949" TargetMode="External"/><Relationship Id="rId1191" Type="http://schemas.openxmlformats.org/officeDocument/2006/relationships/hyperlink" Target="https://search.ancestryinstitution.com/aird/search/db.aspx?dbid=2322" TargetMode="External"/><Relationship Id="rId2035" Type="http://schemas.openxmlformats.org/officeDocument/2006/relationships/hyperlink" Target="https://search.ancestryinstitution.com/aird/search/db.aspx?dbid=2117" TargetMode="External"/><Relationship Id="rId561" Type="http://schemas.openxmlformats.org/officeDocument/2006/relationships/hyperlink" Target="https://search.ancestryinstitution.com/aird/search/db.aspx?dbid=1075" TargetMode="External"/><Relationship Id="rId2242" Type="http://schemas.openxmlformats.org/officeDocument/2006/relationships/hyperlink" Target="https://search.ancestryinstitution.com/aird/search/db.aspx?dbid=2504" TargetMode="External"/><Relationship Id="rId214" Type="http://schemas.openxmlformats.org/officeDocument/2006/relationships/hyperlink" Target="https://catalog.archives.gov/search?q=M2027&amp;ancestorNaId=4486713" TargetMode="External"/><Relationship Id="rId421" Type="http://schemas.openxmlformats.org/officeDocument/2006/relationships/hyperlink" Target="https://search.ancestryinstitution.com/search/db.aspx?dbid=7949" TargetMode="External"/><Relationship Id="rId1051" Type="http://schemas.openxmlformats.org/officeDocument/2006/relationships/hyperlink" Target="https://ancestry.com/" TargetMode="External"/><Relationship Id="rId2102" Type="http://schemas.openxmlformats.org/officeDocument/2006/relationships/hyperlink" Target="https://catalog.archives.gov/search?q=*:*&amp;f.ancestorNaIds=576580&amp;sort=naIdSort%20asc" TargetMode="External"/><Relationship Id="rId1868" Type="http://schemas.openxmlformats.org/officeDocument/2006/relationships/hyperlink" Target="https://www.fold3.com/title_681/civil_war_soldiers_union_colored_troops_1st6th_cavalry" TargetMode="External"/><Relationship Id="rId2919" Type="http://schemas.openxmlformats.org/officeDocument/2006/relationships/hyperlink" Target="https://catalog.archives.gov/search-within/4732064" TargetMode="External"/><Relationship Id="rId3083" Type="http://schemas.openxmlformats.org/officeDocument/2006/relationships/hyperlink" Target="https://familysearch.org/search/collection/2193241" TargetMode="External"/><Relationship Id="rId3290" Type="http://schemas.openxmlformats.org/officeDocument/2006/relationships/hyperlink" Target="https://aad.archives.gov/aad/fielded-search.jsp?dt=363&amp;cat=SB784&amp;tf=F&amp;bc=sb,sl" TargetMode="External"/><Relationship Id="rId1728" Type="http://schemas.openxmlformats.org/officeDocument/2006/relationships/hyperlink" Target="https://search.ancestryinstitution.com/aird/search/db.aspx?dbid=1554" TargetMode="External"/><Relationship Id="rId1935" Type="http://schemas.openxmlformats.org/officeDocument/2006/relationships/hyperlink" Target="https://familysearch.org/search/collection/2110745" TargetMode="External"/><Relationship Id="rId3150" Type="http://schemas.openxmlformats.org/officeDocument/2006/relationships/hyperlink" Target="https://search.ancestryinstitution.com/aird/search/db.aspx?dbid=2238" TargetMode="External"/><Relationship Id="rId3010" Type="http://schemas.openxmlformats.org/officeDocument/2006/relationships/hyperlink" Target="https://catalog.archives.gov/search?q=*:*&amp;f.ancestorNaIds=5833902&amp;sort=naIdSort%20asc" TargetMode="External"/><Relationship Id="rId4" Type="http://schemas.openxmlformats.org/officeDocument/2006/relationships/hyperlink" Target="https://catalog.archives.gov/search-within/2924296?sort=naId%3Aasc" TargetMode="External"/><Relationship Id="rId888" Type="http://schemas.openxmlformats.org/officeDocument/2006/relationships/hyperlink" Target="https://search.ancestryinstitution.com/aird/search/db.aspx?dbid=1070" TargetMode="External"/><Relationship Id="rId2569" Type="http://schemas.openxmlformats.org/officeDocument/2006/relationships/hyperlink" Target="https://search.ancestryinstitution.com/aird/search/db.aspx?dbid=2509" TargetMode="External"/><Relationship Id="rId2776" Type="http://schemas.openxmlformats.org/officeDocument/2006/relationships/hyperlink" Target="http://search.ancestryinstitution.com/aird/search/db.aspx?dbid=2509" TargetMode="External"/><Relationship Id="rId2983" Type="http://schemas.openxmlformats.org/officeDocument/2006/relationships/hyperlink" Target="https://www.familysearch.org/wiki/en/New_Hampshire_Taxation" TargetMode="External"/><Relationship Id="rId748" Type="http://schemas.openxmlformats.org/officeDocument/2006/relationships/hyperlink" Target="https://search.ancestryinstitution.com/aird/search/db.aspx?dbid=9220" TargetMode="External"/><Relationship Id="rId955" Type="http://schemas.openxmlformats.org/officeDocument/2006/relationships/hyperlink" Target="https://search.ancestryinstitution.com/aird/search/db.aspx?dbid=9220" TargetMode="External"/><Relationship Id="rId1378" Type="http://schemas.openxmlformats.org/officeDocument/2006/relationships/hyperlink" Target="https://catalog.archives.gov/search?q=M678&amp;f.ancestorNaIds=300392" TargetMode="External"/><Relationship Id="rId1585" Type="http://schemas.openxmlformats.org/officeDocument/2006/relationships/hyperlink" Target="https://search.ancestryinstitution.com/aird/search/db.aspx?dbid=1192" TargetMode="External"/><Relationship Id="rId1792" Type="http://schemas.openxmlformats.org/officeDocument/2006/relationships/hyperlink" Target="https://catalog.archives.gov/search?q=*:*&amp;f.ancestorNaIds=5722478&amp;sort=naIdSort%20asc" TargetMode="External"/><Relationship Id="rId2429" Type="http://schemas.openxmlformats.org/officeDocument/2006/relationships/hyperlink" Target="https://catalog.archives.gov/search?q=*:*&amp;f.ancestorNaIds=2118219&amp;sort=naIdSort%20asc" TargetMode="External"/><Relationship Id="rId2636" Type="http://schemas.openxmlformats.org/officeDocument/2006/relationships/hyperlink" Target="https://catalog.archives.gov/search?q=*:*&amp;f.ancestorNaIds=3325372&amp;sort=naIdSort%20asc" TargetMode="External"/><Relationship Id="rId2843" Type="http://schemas.openxmlformats.org/officeDocument/2006/relationships/hyperlink" Target="https://www.fold3.com/title_816/wwii_draft_registration_cards" TargetMode="External"/><Relationship Id="rId84" Type="http://schemas.openxmlformats.org/officeDocument/2006/relationships/hyperlink" Target="https://search.ancestryinstitution.com/aird/search/db.aspx?dbid=9220" TargetMode="External"/><Relationship Id="rId608" Type="http://schemas.openxmlformats.org/officeDocument/2006/relationships/hyperlink" Target="https://search.ancestryinstitution.com/aird/search/db.aspx?dbid=2257" TargetMode="External"/><Relationship Id="rId815" Type="http://schemas.openxmlformats.org/officeDocument/2006/relationships/hyperlink" Target="https://search.ancestryinstitution.com/aird/search/db.aspx?dbid=8842" TargetMode="External"/><Relationship Id="rId1238" Type="http://schemas.openxmlformats.org/officeDocument/2006/relationships/hyperlink" Target="https://search.ancestryinstitution.com/aird/search/db.aspx?dbid=2344" TargetMode="External"/><Relationship Id="rId1445" Type="http://schemas.openxmlformats.org/officeDocument/2006/relationships/hyperlink" Target="https://search.ancestryinstitution.com/aird/search/db.aspx?dbid=1264" TargetMode="External"/><Relationship Id="rId1652" Type="http://schemas.openxmlformats.org/officeDocument/2006/relationships/hyperlink" Target="https://search.ancestryinstitution.com/aird/search/db.aspx?dbid=7949" TargetMode="External"/><Relationship Id="rId1305" Type="http://schemas.openxmlformats.org/officeDocument/2006/relationships/hyperlink" Target="http://www.fold3.com/title_811/" TargetMode="External"/><Relationship Id="rId2703" Type="http://schemas.openxmlformats.org/officeDocument/2006/relationships/hyperlink" Target="https://search.ancestryinstitution.com/aird/search/db.aspx?dbid=2500" TargetMode="External"/><Relationship Id="rId2910" Type="http://schemas.openxmlformats.org/officeDocument/2006/relationships/hyperlink" Target="https://catalog.archives.gov/search?q=*:*&amp;f.ancestorNaIds=4709018&amp;sort=naIdSort%20asc" TargetMode="External"/><Relationship Id="rId1512" Type="http://schemas.openxmlformats.org/officeDocument/2006/relationships/hyperlink" Target="https://catalog.archives.gov/search?q=m881&amp;f.ancestorNaIds=570910&amp;sort=naIdSort%20asc" TargetMode="External"/><Relationship Id="rId11" Type="http://schemas.openxmlformats.org/officeDocument/2006/relationships/hyperlink" Target="https://catalog.archives.gov/search-within/2838669?availableOnline=true&amp;sort=naId%3Aasc" TargetMode="External"/><Relationship Id="rId398" Type="http://schemas.openxmlformats.org/officeDocument/2006/relationships/hyperlink" Target="https://catalog.archives.gov/search?q=*:*&amp;f.ancestorNaIds=4492651" TargetMode="External"/><Relationship Id="rId2079" Type="http://schemas.openxmlformats.org/officeDocument/2006/relationships/hyperlink" Target="https://search.ancestryinstitution.com/aird/search/db.aspx?dbid=2509" TargetMode="External"/><Relationship Id="rId2286" Type="http://schemas.openxmlformats.org/officeDocument/2006/relationships/hyperlink" Target="https://search.ancestryinstitution.com/aird/search/db.aspx?dbid=1002" TargetMode="External"/><Relationship Id="rId2493" Type="http://schemas.openxmlformats.org/officeDocument/2006/relationships/hyperlink" Target="https://search.ancestryinstitution.com/aird/search/db.aspx?dbid=2503" TargetMode="External"/><Relationship Id="rId3337" Type="http://schemas.openxmlformats.org/officeDocument/2006/relationships/hyperlink" Target="https://www.fold3.com/title/645/census-us-federal-1920" TargetMode="External"/><Relationship Id="rId258" Type="http://schemas.openxmlformats.org/officeDocument/2006/relationships/hyperlink" Target="https://catalog.archives.gov/search?q=*:*&amp;f.ancestorNaIds=1227672" TargetMode="External"/><Relationship Id="rId465" Type="http://schemas.openxmlformats.org/officeDocument/2006/relationships/hyperlink" Target="https://www.familysearch.org/search/collection/2426314" TargetMode="External"/><Relationship Id="rId672" Type="http://schemas.openxmlformats.org/officeDocument/2006/relationships/hyperlink" Target="https://catalog.archives.gov/search?q=A3601&amp;f.ancestorNaIds=2806076" TargetMode="External"/><Relationship Id="rId1095" Type="http://schemas.openxmlformats.org/officeDocument/2006/relationships/hyperlink" Target="https://catalog.archives.gov/search?q=*:*&amp;f.ancestorNaIds=4871047&amp;sort=naIdSort%20asc" TargetMode="External"/><Relationship Id="rId2146" Type="http://schemas.openxmlformats.org/officeDocument/2006/relationships/hyperlink" Target="https://search.ancestryinstitution.com/aird/search/db.aspx?dbid=60424" TargetMode="External"/><Relationship Id="rId2353" Type="http://schemas.openxmlformats.org/officeDocument/2006/relationships/hyperlink" Target="https://catalog.archives.gov/search?q=*:*&amp;f.ancestorNaIds=1244182&amp;sort=naIdSort%20asc" TargetMode="External"/><Relationship Id="rId2560" Type="http://schemas.openxmlformats.org/officeDocument/2006/relationships/hyperlink" Target="https://catalog.archives.gov/search?q=*:*&amp;f.ancestorNaIds=2642512&amp;sort=naIdSort%20asc" TargetMode="External"/><Relationship Id="rId118" Type="http://schemas.openxmlformats.org/officeDocument/2006/relationships/hyperlink" Target="https://search.ancestryinstitution.com/search/db.aspx?dbid=8722" TargetMode="External"/><Relationship Id="rId325" Type="http://schemas.openxmlformats.org/officeDocument/2006/relationships/hyperlink" Target="https://catalog.archives.gov/search?q=*:*&amp;f.ancestorNaIds=24493473" TargetMode="External"/><Relationship Id="rId532" Type="http://schemas.openxmlformats.org/officeDocument/2006/relationships/hyperlink" Target="https://search.ancestryinstitution.com/search/db.aspx?dbid=1634" TargetMode="External"/><Relationship Id="rId1162" Type="http://schemas.openxmlformats.org/officeDocument/2006/relationships/hyperlink" Target="https://familysearch.org/search/collection/1932376" TargetMode="External"/><Relationship Id="rId2006" Type="http://schemas.openxmlformats.org/officeDocument/2006/relationships/hyperlink" Target="https://search.ancestryinstitution.com/aird/search/db.aspx?dbid=1105" TargetMode="External"/><Relationship Id="rId2213" Type="http://schemas.openxmlformats.org/officeDocument/2006/relationships/hyperlink" Target="https://search.ancestryinstitution.com/aird/search/db.aspx?dbid=2507" TargetMode="External"/><Relationship Id="rId2420" Type="http://schemas.openxmlformats.org/officeDocument/2006/relationships/hyperlink" Target="https://search.ancestryinstitution.com/aird/search/db.aspx?dbid=1850" TargetMode="External"/><Relationship Id="rId1022" Type="http://schemas.openxmlformats.org/officeDocument/2006/relationships/hyperlink" Target="https://catalog.archives.gov/search?q=A4111&amp;f.ancestorNaIds=2990236&amp;sort=naIdSort%20asc" TargetMode="External"/><Relationship Id="rId1979" Type="http://schemas.openxmlformats.org/officeDocument/2006/relationships/hyperlink" Target="https://search.ancestryinstitution.com/aird/search/db.aspx?dbid=1082" TargetMode="External"/><Relationship Id="rId3194" Type="http://schemas.openxmlformats.org/officeDocument/2006/relationships/hyperlink" Target="https://catalog.archives.gov/search?q=*:*&amp;f.ancestorNaIds=7820437&amp;sort=naIdSort%20asc" TargetMode="External"/><Relationship Id="rId1839" Type="http://schemas.openxmlformats.org/officeDocument/2006/relationships/hyperlink" Target="https://familysearch.org/search/collection/2301291" TargetMode="External"/><Relationship Id="rId3054" Type="http://schemas.openxmlformats.org/officeDocument/2006/relationships/hyperlink" Target="https://catalog.archives.gov/search?q=*:*&amp;f.ancestorNaIds=6165172&amp;sort=naIdSort%20asc" TargetMode="External"/><Relationship Id="rId182" Type="http://schemas.openxmlformats.org/officeDocument/2006/relationships/hyperlink" Target="https://search.ancestryinstitution.com/aird/search/db.aspx?dbid=8722" TargetMode="External"/><Relationship Id="rId1906" Type="http://schemas.openxmlformats.org/officeDocument/2006/relationships/hyperlink" Target="http://familysearch.org/" TargetMode="External"/><Relationship Id="rId3261" Type="http://schemas.openxmlformats.org/officeDocument/2006/relationships/hyperlink" Target="http://www.fold3.com/title_785/%09%09%09%09" TargetMode="External"/><Relationship Id="rId2070" Type="http://schemas.openxmlformats.org/officeDocument/2006/relationships/hyperlink" Target="https://catalog.archives.gov/search?q=*:*&amp;f.parentNaId=566157&amp;f.level=fileUnit&amp;sort=naIdSort%20asc" TargetMode="External"/><Relationship Id="rId3121" Type="http://schemas.openxmlformats.org/officeDocument/2006/relationships/hyperlink" Target="http://familysearch.org/" TargetMode="External"/><Relationship Id="rId999" Type="http://schemas.openxmlformats.org/officeDocument/2006/relationships/hyperlink" Target="https://search.ancestryinstitution.com/aird/search/db.aspx?dbid=60579" TargetMode="External"/><Relationship Id="rId2887" Type="http://schemas.openxmlformats.org/officeDocument/2006/relationships/hyperlink" Target="https://search.ancestryinstitution.com/aird/search/db.aspx?dbid=2508" TargetMode="External"/><Relationship Id="rId859" Type="http://schemas.openxmlformats.org/officeDocument/2006/relationships/hyperlink" Target="https://catalog.archives.gov/search?q=A3882&amp;f.ancestorNaIds=2789522&amp;sort=naIdSort%20asc" TargetMode="External"/><Relationship Id="rId1489" Type="http://schemas.openxmlformats.org/officeDocument/2006/relationships/hyperlink" Target="https://familysearch.org/search/collection/2427894" TargetMode="External"/><Relationship Id="rId1696" Type="http://schemas.openxmlformats.org/officeDocument/2006/relationships/hyperlink" Target="https://search.ancestryinstitution.com/aird/search/db.aspx?dbid=1082" TargetMode="External"/><Relationship Id="rId1349" Type="http://schemas.openxmlformats.org/officeDocument/2006/relationships/hyperlink" Target="https://go.fold3.com/lincoln" TargetMode="External"/><Relationship Id="rId2747" Type="http://schemas.openxmlformats.org/officeDocument/2006/relationships/hyperlink" Target="https://search.ancestryinstitution.com/aird/search/db.aspx?dbid=2507" TargetMode="External"/><Relationship Id="rId2954" Type="http://schemas.openxmlformats.org/officeDocument/2006/relationships/hyperlink" Target="https://search.ancestryinstitution.com/aird/search/db.aspx?dbid=2501" TargetMode="External"/><Relationship Id="rId719" Type="http://schemas.openxmlformats.org/officeDocument/2006/relationships/hyperlink" Target="https://search.ancestryinstitution.com/aird/search/db.aspx?dbid=9118" TargetMode="External"/><Relationship Id="rId926" Type="http://schemas.openxmlformats.org/officeDocument/2006/relationships/hyperlink" Target="https://search.ancestryinstitution.com/aird/search/db.aspx?dbid=9220" TargetMode="External"/><Relationship Id="rId1556" Type="http://schemas.openxmlformats.org/officeDocument/2006/relationships/hyperlink" Target="https://catalog.archives.gov/search?q=M1087&amp;f.ancestorNaIds=300400" TargetMode="External"/><Relationship Id="rId1763" Type="http://schemas.openxmlformats.org/officeDocument/2006/relationships/hyperlink" Target="https://search.ancestryinstitution.com/aird/search/db.aspx?dbid=1193" TargetMode="External"/><Relationship Id="rId1970" Type="http://schemas.openxmlformats.org/officeDocument/2006/relationships/hyperlink" Target="https://familysearch.org/search/collection/1932393" TargetMode="External"/><Relationship Id="rId2607" Type="http://schemas.openxmlformats.org/officeDocument/2006/relationships/hyperlink" Target="https://www.fold3.com/title_816/wwii_draft_registration_cards" TargetMode="External"/><Relationship Id="rId2814" Type="http://schemas.openxmlformats.org/officeDocument/2006/relationships/hyperlink" Target="https://catalog.archives.gov/search?q=*:*&amp;f.ancestorNaIds=4526824&amp;sort=naIdSort%20asc" TargetMode="External"/><Relationship Id="rId55" Type="http://schemas.openxmlformats.org/officeDocument/2006/relationships/hyperlink" Target="https://catalog.archives.gov/search-within/2825804?availableOnline=true&amp;sort=naId%3Aasc" TargetMode="External"/><Relationship Id="rId1209" Type="http://schemas.openxmlformats.org/officeDocument/2006/relationships/hyperlink" Target="https://familysearch.org/search/collection/1921756" TargetMode="External"/><Relationship Id="rId1416" Type="http://schemas.openxmlformats.org/officeDocument/2006/relationships/hyperlink" Target="https://familysearch.org/search/collection/2075263" TargetMode="External"/><Relationship Id="rId1623" Type="http://schemas.openxmlformats.org/officeDocument/2006/relationships/hyperlink" Target="https://search.ancestryinstitution.com/aird/search/db.aspx?dbid=2898" TargetMode="External"/><Relationship Id="rId1830" Type="http://schemas.openxmlformats.org/officeDocument/2006/relationships/hyperlink" Target="https://search.ancestryinstitution.com/aird/search/db.aspx?dbid=1082" TargetMode="External"/><Relationship Id="rId2397" Type="http://schemas.openxmlformats.org/officeDocument/2006/relationships/hyperlink" Target="http://www.fold3.com/title_747/revolutionary_war_service_and_imprisonment/" TargetMode="External"/><Relationship Id="rId369" Type="http://schemas.openxmlformats.org/officeDocument/2006/relationships/hyperlink" Target="https://catalog.archives.gov/search?q=*:*&amp;f.ancestorNaIds=4492402&amp;sort=naIdSort%20asc" TargetMode="External"/><Relationship Id="rId576" Type="http://schemas.openxmlformats.org/officeDocument/2006/relationships/hyperlink" Target="https://catalog.archives.gov/search?q=*:*&amp;f.ancestorNaIds=2669478&amp;sort=naIdSort%20asc" TargetMode="External"/><Relationship Id="rId783" Type="http://schemas.openxmlformats.org/officeDocument/2006/relationships/hyperlink" Target="https://catalog.archives.gov/search?q=A3756&amp;f.ancestorNaIds=2723174&amp;sort=naIdSort%20asc" TargetMode="External"/><Relationship Id="rId990" Type="http://schemas.openxmlformats.org/officeDocument/2006/relationships/hyperlink" Target="https://search.ancestryinstitution.com/aird/search/db.aspx?dbid=9118" TargetMode="External"/><Relationship Id="rId2257" Type="http://schemas.openxmlformats.org/officeDocument/2006/relationships/hyperlink" Target="https://catalog.archives.gov/search?q=*:*&amp;f.ancestorNaIds=731235&amp;sort=naIdSort%20asc" TargetMode="External"/><Relationship Id="rId2464" Type="http://schemas.openxmlformats.org/officeDocument/2006/relationships/hyperlink" Target="https://catalog.archives.gov/search?q=*:*&amp;f.ancestorNaIds=2217068&amp;sort=naIdSort%20asc" TargetMode="External"/><Relationship Id="rId2671" Type="http://schemas.openxmlformats.org/officeDocument/2006/relationships/hyperlink" Target="https://search.ancestryinstitution.com/aird/search/db.aspx?dbid=2509" TargetMode="External"/><Relationship Id="rId3308" Type="http://schemas.openxmlformats.org/officeDocument/2006/relationships/hyperlink" Target="http://www.footnote.com/title_831/" TargetMode="External"/><Relationship Id="rId229" Type="http://schemas.openxmlformats.org/officeDocument/2006/relationships/hyperlink" Target="http://www.footnote.com/title_866/" TargetMode="External"/><Relationship Id="rId436" Type="http://schemas.openxmlformats.org/officeDocument/2006/relationships/hyperlink" Target="https://search.ancestryinstitution.com/aird/search/db.aspx?dbid=1075" TargetMode="External"/><Relationship Id="rId643" Type="http://schemas.openxmlformats.org/officeDocument/2006/relationships/hyperlink" Target="https://search.ancestryinstitution.com/aird/search/db.aspx?dbid=1502" TargetMode="External"/><Relationship Id="rId1066" Type="http://schemas.openxmlformats.org/officeDocument/2006/relationships/hyperlink" Target="https://ancestry.com/" TargetMode="External"/><Relationship Id="rId1273" Type="http://schemas.openxmlformats.org/officeDocument/2006/relationships/hyperlink" Target="https://search.ancestryinstitution.com/aird/search/db.aspx?dbid=5445" TargetMode="External"/><Relationship Id="rId1480" Type="http://schemas.openxmlformats.org/officeDocument/2006/relationships/hyperlink" Target="https://familysearch.org/search/collection/2427901" TargetMode="External"/><Relationship Id="rId2117" Type="http://schemas.openxmlformats.org/officeDocument/2006/relationships/hyperlink" Target="https://familysearch.org/search/collection/2170637" TargetMode="External"/><Relationship Id="rId2324" Type="http://schemas.openxmlformats.org/officeDocument/2006/relationships/hyperlink" Target="https://search.ancestryinstitution.com/aird/search/db.aspx?dbid=1174" TargetMode="External"/><Relationship Id="rId850" Type="http://schemas.openxmlformats.org/officeDocument/2006/relationships/hyperlink" Target="https://catalog.archives.gov/search?q=A3859&amp;f.ancestorNaIds=2658033&amp;sort=naIdSort%20asc" TargetMode="External"/><Relationship Id="rId1133" Type="http://schemas.openxmlformats.org/officeDocument/2006/relationships/hyperlink" Target="https://familysearch.org/search/collection/2018318" TargetMode="External"/><Relationship Id="rId2531" Type="http://schemas.openxmlformats.org/officeDocument/2006/relationships/hyperlink" Target="https://search.ancestryinstitution.com/aird/search/db.aspx?dbid=2509" TargetMode="External"/><Relationship Id="rId503" Type="http://schemas.openxmlformats.org/officeDocument/2006/relationships/hyperlink" Target="https://catalog.archives.gov/search?q=*:*&amp;f.ancestorNaIds=4644598&amp;sort=naIdSort%20asc" TargetMode="External"/><Relationship Id="rId710" Type="http://schemas.openxmlformats.org/officeDocument/2006/relationships/hyperlink" Target="https://catalog.archives.gov/search?q=A3921&amp;f.ancestorNaIds=3335554&amp;sort=naIdSort%20asc" TargetMode="External"/><Relationship Id="rId1340" Type="http://schemas.openxmlformats.org/officeDocument/2006/relationships/hyperlink" Target="https://search.ancestryinstitution.com/aird/search/db.aspx?dbid=7163" TargetMode="External"/><Relationship Id="rId3098" Type="http://schemas.openxmlformats.org/officeDocument/2006/relationships/hyperlink" Target="https://search.ancestryinstitution.com/aird/search/db.aspx?dbid=60593" TargetMode="External"/><Relationship Id="rId1200" Type="http://schemas.openxmlformats.org/officeDocument/2006/relationships/hyperlink" Target="https://catalog.archives.gov/search?q=M324&amp;f.ancestorNaIds=586957" TargetMode="External"/><Relationship Id="rId3165" Type="http://schemas.openxmlformats.org/officeDocument/2006/relationships/hyperlink" Target="https://search.ancestryinstitution.com/aird/search/db.aspx?dbid=2238" TargetMode="External"/><Relationship Id="rId3372" Type="http://schemas.openxmlformats.org/officeDocument/2006/relationships/hyperlink" Target="https://catalog.archives.gov/search?q=T1133&amp;f.ancestorNaIds=2791274&amp;sort=naIdSort%20asc" TargetMode="External"/><Relationship Id="rId293" Type="http://schemas.openxmlformats.org/officeDocument/2006/relationships/hyperlink" Target="https://search.ancestryinstitution.com/aird/search/db.aspx?dbid=3135" TargetMode="External"/><Relationship Id="rId2181" Type="http://schemas.openxmlformats.org/officeDocument/2006/relationships/hyperlink" Target="https://search.ancestryinstitution.com/aird/search/db.aspx?dbid=60614" TargetMode="External"/><Relationship Id="rId3025" Type="http://schemas.openxmlformats.org/officeDocument/2006/relationships/hyperlink" Target="https://catalog.archives.gov/search?q=*:*&amp;f.ancestorNaIds=6037017&amp;sort=naIdSort%20asc" TargetMode="External"/><Relationship Id="rId3232" Type="http://schemas.openxmlformats.org/officeDocument/2006/relationships/hyperlink" Target="https://catalog.archives.gov/search?q=*:*&amp;f.ancestorNaIds=81449708&amp;sort=naIdSort%20asc" TargetMode="External"/><Relationship Id="rId153" Type="http://schemas.openxmlformats.org/officeDocument/2006/relationships/hyperlink" Target="https://catalog.archives.gov/search-within/2663460?availableOnline=true&amp;sort=naId%3Aasc" TargetMode="External"/><Relationship Id="rId360" Type="http://schemas.openxmlformats.org/officeDocument/2006/relationships/hyperlink" Target="https://search.ancestryinstitution.com/search/db.aspx?dbid=1082" TargetMode="External"/><Relationship Id="rId2041" Type="http://schemas.openxmlformats.org/officeDocument/2006/relationships/hyperlink" Target="http://www.footnote.com/title_762/" TargetMode="External"/><Relationship Id="rId220" Type="http://schemas.openxmlformats.org/officeDocument/2006/relationships/hyperlink" Target="https://catalog.archives.gov/search-within/594996?q=shore%20establishment" TargetMode="External"/><Relationship Id="rId2998" Type="http://schemas.openxmlformats.org/officeDocument/2006/relationships/hyperlink" Target="http://familysearch.org/" TargetMode="External"/><Relationship Id="rId2858" Type="http://schemas.openxmlformats.org/officeDocument/2006/relationships/hyperlink" Target="https://catalog.archives.gov/search?q=*:*&amp;f.ancestorNaIds=4693891&amp;sort=naIdSort%20asc" TargetMode="External"/><Relationship Id="rId99" Type="http://schemas.openxmlformats.org/officeDocument/2006/relationships/hyperlink" Target="https://www.ancestry.com/search/collections/9127/" TargetMode="External"/><Relationship Id="rId1667" Type="http://schemas.openxmlformats.org/officeDocument/2006/relationships/hyperlink" Target="https://familysearch.org/search/collection/2185163" TargetMode="External"/><Relationship Id="rId1874" Type="http://schemas.openxmlformats.org/officeDocument/2006/relationships/hyperlink" Target="http://familysearch.org/" TargetMode="External"/><Relationship Id="rId2718" Type="http://schemas.openxmlformats.org/officeDocument/2006/relationships/hyperlink" Target="https://search.ancestryinstitution.com/aird/search/db.aspx?dbid=2508" TargetMode="External"/><Relationship Id="rId2925" Type="http://schemas.openxmlformats.org/officeDocument/2006/relationships/hyperlink" Target="https://search.ancestryinstitution.com/aird/search/db.aspx?dbid=2508" TargetMode="External"/><Relationship Id="rId1527" Type="http://schemas.openxmlformats.org/officeDocument/2006/relationships/hyperlink" Target="https://familysearch.org/search/collection/2427901" TargetMode="External"/><Relationship Id="rId1734" Type="http://schemas.openxmlformats.org/officeDocument/2006/relationships/hyperlink" Target="https://search.ancestryinstitution.com/aird/search/db.aspx?dbid=1629" TargetMode="External"/><Relationship Id="rId1941" Type="http://schemas.openxmlformats.org/officeDocument/2006/relationships/hyperlink" Target="https://catalog.archives.gov/search?q=*:*&amp;f.ancestorNaIds=4477248" TargetMode="External"/><Relationship Id="rId26" Type="http://schemas.openxmlformats.org/officeDocument/2006/relationships/hyperlink" Target="https://ancestry.com/" TargetMode="External"/><Relationship Id="rId1801" Type="http://schemas.openxmlformats.org/officeDocument/2006/relationships/hyperlink" Target="http://www.fold3.com/title_786/" TargetMode="External"/><Relationship Id="rId687" Type="http://schemas.openxmlformats.org/officeDocument/2006/relationships/hyperlink" Target="https://search.ancestryinstitution.com/aird/search/db.aspx?dbid=60501" TargetMode="External"/><Relationship Id="rId2368" Type="http://schemas.openxmlformats.org/officeDocument/2006/relationships/hyperlink" Target="https://search.ancestryinstitution.com/aird/search/db.aspx?dbid=2512" TargetMode="External"/><Relationship Id="rId894" Type="http://schemas.openxmlformats.org/officeDocument/2006/relationships/hyperlink" Target="https://catalog.archives.gov/search?q=*:*&amp;f.ancestorNaIds=2790578&amp;sort=naIdSort%20asc" TargetMode="External"/><Relationship Id="rId1177" Type="http://schemas.openxmlformats.org/officeDocument/2006/relationships/hyperlink" Target="https://search.ancestryinstitution.com/aird/search/db.aspx?dbid=1133" TargetMode="External"/><Relationship Id="rId2575" Type="http://schemas.openxmlformats.org/officeDocument/2006/relationships/hyperlink" Target="https://search.ancestryinstitution.com/aird/search/db.aspx?dbid=2505" TargetMode="External"/><Relationship Id="rId2782" Type="http://schemas.openxmlformats.org/officeDocument/2006/relationships/hyperlink" Target="https://search.ancestryinstitution.com/aird/search/db.aspx?dbid=2509" TargetMode="External"/><Relationship Id="rId547" Type="http://schemas.openxmlformats.org/officeDocument/2006/relationships/hyperlink" Target="https://search.ancestryinstitution.com/search/db.aspx?dbid=8758" TargetMode="External"/><Relationship Id="rId754" Type="http://schemas.openxmlformats.org/officeDocument/2006/relationships/hyperlink" Target="https://catalog.archives.gov/search?q=A3695&amp;f.ancestorNaIds=3256771&amp;sort=naIdSort%20asc" TargetMode="External"/><Relationship Id="rId961" Type="http://schemas.openxmlformats.org/officeDocument/2006/relationships/hyperlink" Target="https://catalog.archives.gov/search?q=A4021&amp;f.ancestorNaIds=3179985&amp;sort=naIdSort%20asc" TargetMode="External"/><Relationship Id="rId1384" Type="http://schemas.openxmlformats.org/officeDocument/2006/relationships/hyperlink" Target="https://familysearch.org/search/collection/1834308" TargetMode="External"/><Relationship Id="rId1591" Type="http://schemas.openxmlformats.org/officeDocument/2006/relationships/hyperlink" Target="https://search.ancestryinstitution.com/search/db.aspx?dbid=1629" TargetMode="External"/><Relationship Id="rId2228" Type="http://schemas.openxmlformats.org/officeDocument/2006/relationships/hyperlink" Target="https://familysearch.org/search/collection/2285702" TargetMode="External"/><Relationship Id="rId2435" Type="http://schemas.openxmlformats.org/officeDocument/2006/relationships/hyperlink" Target="https://search.ancestryinstitution.com/aird/search/db.aspx?dbid=2500" TargetMode="External"/><Relationship Id="rId2642" Type="http://schemas.openxmlformats.org/officeDocument/2006/relationships/hyperlink" Target="https://search.ancestryinstitution.com/aird/search/db.aspx?dbid=2506" TargetMode="External"/><Relationship Id="rId90" Type="http://schemas.openxmlformats.org/officeDocument/2006/relationships/hyperlink" Target="https://search.ancestryinstitution.com/aird/search/db.aspx?dbid=9118" TargetMode="External"/><Relationship Id="rId407" Type="http://schemas.openxmlformats.org/officeDocument/2006/relationships/hyperlink" Target="https://search.ancestryinstitution.com/search/db.aspx?dbid=1075" TargetMode="External"/><Relationship Id="rId614" Type="http://schemas.openxmlformats.org/officeDocument/2006/relationships/hyperlink" Target="https://catalog.archives.gov/search?q=*:*&amp;f.ancestorNaIds=2867029" TargetMode="External"/><Relationship Id="rId821" Type="http://schemas.openxmlformats.org/officeDocument/2006/relationships/hyperlink" Target="https://catalog.archives.gov/search?q=A3823&amp;f.ancestorNaIds=3033339&amp;sort=naIdSort%20asc" TargetMode="External"/><Relationship Id="rId1037" Type="http://schemas.openxmlformats.org/officeDocument/2006/relationships/hyperlink" Target="https://catalog.archives.gov/search?q=A4130&amp;f.ancestorNaIds=2990054&amp;sort=naIdSort%20asc" TargetMode="External"/><Relationship Id="rId1244" Type="http://schemas.openxmlformats.org/officeDocument/2006/relationships/hyperlink" Target="http://www.fold3.com/title_686/civil_war_soldiers_union_va/" TargetMode="External"/><Relationship Id="rId1451" Type="http://schemas.openxmlformats.org/officeDocument/2006/relationships/hyperlink" Target="https://www.fold3.com/title/25/civil-war-irs-records-pennsylvania" TargetMode="External"/><Relationship Id="rId2502" Type="http://schemas.openxmlformats.org/officeDocument/2006/relationships/hyperlink" Target="https://search.ancestryinstitution.com/aird/search/db.aspx?dbid=2503" TargetMode="External"/><Relationship Id="rId1104" Type="http://schemas.openxmlformats.org/officeDocument/2006/relationships/hyperlink" Target="https://familysearch.org/search/collection/1803955" TargetMode="External"/><Relationship Id="rId1311" Type="http://schemas.openxmlformats.org/officeDocument/2006/relationships/hyperlink" Target="http://www.footnote.com/title_794/" TargetMode="External"/><Relationship Id="rId3069" Type="http://schemas.openxmlformats.org/officeDocument/2006/relationships/hyperlink" Target="https://familysearch.org/search/collection/2613134" TargetMode="External"/><Relationship Id="rId3276" Type="http://schemas.openxmlformats.org/officeDocument/2006/relationships/hyperlink" Target="https://catalog.archives.gov/search?q=*:*&amp;f.ancestorNaIds=24200417" TargetMode="External"/><Relationship Id="rId197" Type="http://schemas.openxmlformats.org/officeDocument/2006/relationships/hyperlink" Target="https://search.ancestryinstitution.com/aird/search/db.aspx?dbid=1976%09%09%09%09" TargetMode="External"/><Relationship Id="rId2085" Type="http://schemas.openxmlformats.org/officeDocument/2006/relationships/hyperlink" Target="https://search.ancestryinstitution.com/aird/search/db.aspx?dbid=2509" TargetMode="External"/><Relationship Id="rId2292" Type="http://schemas.openxmlformats.org/officeDocument/2006/relationships/hyperlink" Target="http://familysearch.org/" TargetMode="External"/><Relationship Id="rId3136" Type="http://schemas.openxmlformats.org/officeDocument/2006/relationships/hyperlink" Target="https://www.fold3.com/title_816/wwii_draft_registration_cards" TargetMode="External"/><Relationship Id="rId3343" Type="http://schemas.openxmlformats.org/officeDocument/2006/relationships/hyperlink" Target="https://familysearch.org/search/collection/1810731" TargetMode="External"/><Relationship Id="rId264" Type="http://schemas.openxmlformats.org/officeDocument/2006/relationships/hyperlink" Target="https://catalog.archives.gov/search?q=*:*&amp;f.ancestorNaIds=1253497" TargetMode="External"/><Relationship Id="rId471" Type="http://schemas.openxmlformats.org/officeDocument/2006/relationships/hyperlink" Target="https://catalog.archives.gov/search?q=*:*&amp;f.ancestorNaIds=4522431&amp;sort=naIdSort%20asc" TargetMode="External"/><Relationship Id="rId2152" Type="http://schemas.openxmlformats.org/officeDocument/2006/relationships/hyperlink" Target="https://search.ancestryinstitution.com/aird/search/db.aspx?dbid=1002" TargetMode="External"/><Relationship Id="rId124" Type="http://schemas.openxmlformats.org/officeDocument/2006/relationships/hyperlink" Target="https://catalog.archives.gov/search-within/2867045?availableOnline=true&amp;sort=naId%3Aasc" TargetMode="External"/><Relationship Id="rId3203" Type="http://schemas.openxmlformats.org/officeDocument/2006/relationships/hyperlink" Target="https://catalog.archives.gov/search?q=*:*&amp;f.ancestorNaIds=55161363&amp;sort=naIdSort%20asc" TargetMode="External"/><Relationship Id="rId331" Type="http://schemas.openxmlformats.org/officeDocument/2006/relationships/hyperlink" Target="https://catalog.archives.gov/search?q=*:*&amp;f.ancestorNaIds=24493476" TargetMode="External"/><Relationship Id="rId2012" Type="http://schemas.openxmlformats.org/officeDocument/2006/relationships/hyperlink" Target="https://catalog.archives.gov/search?q=M2079&amp;f.ancestorNaIds=605894" TargetMode="External"/><Relationship Id="rId2969" Type="http://schemas.openxmlformats.org/officeDocument/2006/relationships/hyperlink" Target="https://www.familysearch.org/search/collection/2075263" TargetMode="External"/><Relationship Id="rId1778" Type="http://schemas.openxmlformats.org/officeDocument/2006/relationships/hyperlink" Target="https://www.fold3.com/title/8/southern-claims-approved-georgia" TargetMode="External"/><Relationship Id="rId1985" Type="http://schemas.openxmlformats.org/officeDocument/2006/relationships/hyperlink" Target="https://www.fold3.com/title/685/civil-war-service-records-cmsr-union-colored-troops-36th-40th-infantry" TargetMode="External"/><Relationship Id="rId2829" Type="http://schemas.openxmlformats.org/officeDocument/2006/relationships/hyperlink" Target="https://catalog.archives.gov/search?q=*:*&amp;f.ancestorNaIds=4644629&amp;sort=naIdSort%20asc" TargetMode="External"/><Relationship Id="rId1638" Type="http://schemas.openxmlformats.org/officeDocument/2006/relationships/hyperlink" Target="https://search.ancestryinstitution.com/aird/search/db.aspx?dbid=8945" TargetMode="External"/><Relationship Id="rId1845" Type="http://schemas.openxmlformats.org/officeDocument/2006/relationships/hyperlink" Target="https://search.ancestryinstitution.com/aird/search/db.aspx?dbid=2402" TargetMode="External"/><Relationship Id="rId3060" Type="http://schemas.openxmlformats.org/officeDocument/2006/relationships/hyperlink" Target="https://search.ancestryinstitution.com/aird/search/db.aspx?dbid=60593" TargetMode="External"/><Relationship Id="rId1705" Type="http://schemas.openxmlformats.org/officeDocument/2006/relationships/hyperlink" Target="https://search.ancestryinstitution.com/aird/search/db.aspx?dbid=1554" TargetMode="External"/><Relationship Id="rId1912" Type="http://schemas.openxmlformats.org/officeDocument/2006/relationships/hyperlink" Target="http://familysearch.org/" TargetMode="External"/><Relationship Id="rId798" Type="http://schemas.openxmlformats.org/officeDocument/2006/relationships/hyperlink" Target="https://search.ancestryinstitution.com/aird/search/db.aspx?dbid=60501" TargetMode="External"/><Relationship Id="rId2479" Type="http://schemas.openxmlformats.org/officeDocument/2006/relationships/hyperlink" Target="https://search.ancestryinstitution.com/aird/search/db.aspx?dbid=2500" TargetMode="External"/><Relationship Id="rId2686" Type="http://schemas.openxmlformats.org/officeDocument/2006/relationships/hyperlink" Target="https://search.ancestryinstitution.com/aird/search/db.aspx?dbid=2509" TargetMode="External"/><Relationship Id="rId2893" Type="http://schemas.openxmlformats.org/officeDocument/2006/relationships/hyperlink" Target="https://search.ancestryinstitution.com/aird/search/db.aspx?dbid=2507" TargetMode="External"/><Relationship Id="rId658" Type="http://schemas.openxmlformats.org/officeDocument/2006/relationships/hyperlink" Target="https://search.ancestryinstitution.com/aird/search/db.aspx?dbid=9220" TargetMode="External"/><Relationship Id="rId865" Type="http://schemas.openxmlformats.org/officeDocument/2006/relationships/hyperlink" Target="https://catalog.archives.gov/search?q=A3903&amp;f.ancestorNaIds=2945735&amp;sort=naIdSort%20asc" TargetMode="External"/><Relationship Id="rId1288" Type="http://schemas.openxmlformats.org/officeDocument/2006/relationships/hyperlink" Target="https://catalog.archives.gov/search-within/300398?page=2&amp;q=record.microformPublications.identifier%3AM508&amp;sort=title%3Aasc" TargetMode="External"/><Relationship Id="rId1495" Type="http://schemas.openxmlformats.org/officeDocument/2006/relationships/hyperlink" Target="http://www.footnote.com/title_910/" TargetMode="External"/><Relationship Id="rId2339" Type="http://schemas.openxmlformats.org/officeDocument/2006/relationships/hyperlink" Target="https://catalog.archives.gov/search?q=*:*&amp;f.ancestorNaIds=1223643&amp;sort=naIdSort%20asc" TargetMode="External"/><Relationship Id="rId2546" Type="http://schemas.openxmlformats.org/officeDocument/2006/relationships/hyperlink" Target="https://catalog.archives.gov/search?q=*:*&amp;f.ancestorNaIds=68141954&amp;sort=naIdSort%20asc" TargetMode="External"/><Relationship Id="rId2753" Type="http://schemas.openxmlformats.org/officeDocument/2006/relationships/hyperlink" Target="https://search.ancestryinstitution.com/aird/search/db.aspx?dbid=2507" TargetMode="External"/><Relationship Id="rId2960" Type="http://schemas.openxmlformats.org/officeDocument/2006/relationships/hyperlink" Target="https://www.familysearch.org/wiki/en/Vermont_Taxation" TargetMode="External"/><Relationship Id="rId518" Type="http://schemas.openxmlformats.org/officeDocument/2006/relationships/hyperlink" Target="https://www.familysearch.org/search/collection/2443349" TargetMode="External"/><Relationship Id="rId725" Type="http://schemas.openxmlformats.org/officeDocument/2006/relationships/hyperlink" Target="https://catalog.archives.gov/search?q=A3660&amp;f.ancestorNaIds=2848492&amp;sort=naIdSort%20asc" TargetMode="External"/><Relationship Id="rId932" Type="http://schemas.openxmlformats.org/officeDocument/2006/relationships/hyperlink" Target="https://catalog.archives.gov/search?q=*:*&amp;f.ancestorNaIds=2843157&amp;sort=naIdSort%20asc" TargetMode="External"/><Relationship Id="rId1148" Type="http://schemas.openxmlformats.org/officeDocument/2006/relationships/hyperlink" Target="https://familysearch.org/search/collection/1932370" TargetMode="External"/><Relationship Id="rId1355" Type="http://schemas.openxmlformats.org/officeDocument/2006/relationships/hyperlink" Target="https://familysearch.org/search/collection/2075263" TargetMode="External"/><Relationship Id="rId1562" Type="http://schemas.openxmlformats.org/officeDocument/2006/relationships/hyperlink" Target="https://www.fold3.com/title/73/eastern-cherokee-applications" TargetMode="External"/><Relationship Id="rId2406" Type="http://schemas.openxmlformats.org/officeDocument/2006/relationships/hyperlink" Target="https://search.ancestryinstitution.com/aird/search/db.aspx?dbid=2500" TargetMode="External"/><Relationship Id="rId2613" Type="http://schemas.openxmlformats.org/officeDocument/2006/relationships/hyperlink" Target="https://search.ancestryinstitution.com/aird/search/db.aspx?dbid=2505" TargetMode="External"/><Relationship Id="rId1008" Type="http://schemas.openxmlformats.org/officeDocument/2006/relationships/hyperlink" Target="https://catalog.archives.gov/search?q=A4087&amp;f.ancestorNaIds=3000054&amp;sort=naIdSort%20asc" TargetMode="External"/><Relationship Id="rId1215" Type="http://schemas.openxmlformats.org/officeDocument/2006/relationships/hyperlink" Target="https://catalog.archives.gov/search?q=*:*&amp;f.ancestorNaIds=%202133276&amp;sort=naIdSort%20asc" TargetMode="External"/><Relationship Id="rId1422" Type="http://schemas.openxmlformats.org/officeDocument/2006/relationships/hyperlink" Target="https://familysearch.org/search/collection/2075263" TargetMode="External"/><Relationship Id="rId2820" Type="http://schemas.openxmlformats.org/officeDocument/2006/relationships/hyperlink" Target="https://familysearch.org/search/collection/2173973" TargetMode="External"/><Relationship Id="rId61" Type="http://schemas.openxmlformats.org/officeDocument/2006/relationships/hyperlink" Target="https://catalog.archives.gov/search-within/2827591?availableOnline=true&amp;sort=naId%3Aasc" TargetMode="External"/><Relationship Id="rId3387" Type="http://schemas.openxmlformats.org/officeDocument/2006/relationships/hyperlink" Target="https://catalog.archives.gov/search?q=t1249%20Fold3%202017&amp;f.parentNaId=302021&amp;f.level=fileUnit&amp;sort=naIdSort%20asc" TargetMode="External"/><Relationship Id="rId2196" Type="http://schemas.openxmlformats.org/officeDocument/2006/relationships/hyperlink" Target="https://catalog.archives.gov/search-within/623284" TargetMode="External"/><Relationship Id="rId168" Type="http://schemas.openxmlformats.org/officeDocument/2006/relationships/hyperlink" Target="https://catalog.archives.gov/search-within/2848423?availableOnline=true&amp;sort=naId%3Aasc" TargetMode="External"/><Relationship Id="rId3247" Type="http://schemas.openxmlformats.org/officeDocument/2006/relationships/hyperlink" Target="http://familysearch.org/" TargetMode="External"/><Relationship Id="rId375" Type="http://schemas.openxmlformats.org/officeDocument/2006/relationships/hyperlink" Target="http://www.fold3.com/title_801/" TargetMode="External"/><Relationship Id="rId582" Type="http://schemas.openxmlformats.org/officeDocument/2006/relationships/hyperlink" Target="https://search.ancestryinstitution.com/aird/search/db.aspx?dbid=9220" TargetMode="External"/><Relationship Id="rId2056" Type="http://schemas.openxmlformats.org/officeDocument/2006/relationships/hyperlink" Target="http://www.fold3.com/title_765/" TargetMode="External"/><Relationship Id="rId2263" Type="http://schemas.openxmlformats.org/officeDocument/2006/relationships/hyperlink" Target="https://www.familysearch.org/wiki/en/Missouri_Naturalization_and_Citizenship" TargetMode="External"/><Relationship Id="rId2470" Type="http://schemas.openxmlformats.org/officeDocument/2006/relationships/hyperlink" Target="https://search.ancestryinstitution.com/aird/search/db.aspx?dbid=2501" TargetMode="External"/><Relationship Id="rId3107" Type="http://schemas.openxmlformats.org/officeDocument/2006/relationships/hyperlink" Target="https://search.ancestryinstitution.com/aird/search/db.aspx?dbid=60593" TargetMode="External"/><Relationship Id="rId3314" Type="http://schemas.openxmlformats.org/officeDocument/2006/relationships/hyperlink" Target="https://aad.archives.gov/aad/series-description.jsp?s=4277&amp;cat=SB209&amp;bc=sb,sl&amp;col=1215" TargetMode="External"/><Relationship Id="rId235" Type="http://schemas.openxmlformats.org/officeDocument/2006/relationships/hyperlink" Target="https://catalog.archives.gov/search?q=*:*&amp;f.ancestorNaIds=300398&amp;sort=naIdSort%20asc" TargetMode="External"/><Relationship Id="rId442" Type="http://schemas.openxmlformats.org/officeDocument/2006/relationships/hyperlink" Target="https://www.familysearch.org/search/collection/2426314" TargetMode="External"/><Relationship Id="rId1072" Type="http://schemas.openxmlformats.org/officeDocument/2006/relationships/hyperlink" Target="https://search.ancestryinstitution.com/aird/search/db.aspx?dbid=8842" TargetMode="External"/><Relationship Id="rId2123" Type="http://schemas.openxmlformats.org/officeDocument/2006/relationships/hyperlink" Target="https://familysearch.org/search/collection/2170637" TargetMode="External"/><Relationship Id="rId2330" Type="http://schemas.openxmlformats.org/officeDocument/2006/relationships/hyperlink" Target="https://catalog.archives.gov/search?q=*:*&amp;f.ancestorNaIds=1154472&amp;sort=naIdSort%20asc" TargetMode="External"/><Relationship Id="rId302" Type="http://schemas.openxmlformats.org/officeDocument/2006/relationships/hyperlink" Target="https://catalog.archives.gov/search?q=*:*&amp;f.ancestorNaIds=7226556&amp;sort=naIdSort%20asc" TargetMode="External"/><Relationship Id="rId1889" Type="http://schemas.openxmlformats.org/officeDocument/2006/relationships/hyperlink" Target="http://www.fold3.com/title_682/civil_war_soldiers_union_colored_troops/" TargetMode="External"/><Relationship Id="rId1749" Type="http://schemas.openxmlformats.org/officeDocument/2006/relationships/hyperlink" Target="https://search.ancestryinstitution.com/aird/search/db.aspx?dbid=1193" TargetMode="External"/><Relationship Id="rId1956" Type="http://schemas.openxmlformats.org/officeDocument/2006/relationships/hyperlink" Target="http://www.footnote.com/title_857/" TargetMode="External"/><Relationship Id="rId3171" Type="http://schemas.openxmlformats.org/officeDocument/2006/relationships/hyperlink" Target="https://www.fold3.com/title_816/wwii_draft_registration_cards" TargetMode="External"/><Relationship Id="rId1609" Type="http://schemas.openxmlformats.org/officeDocument/2006/relationships/hyperlink" Target="https://familysearch.org/search/collection/1840474" TargetMode="External"/><Relationship Id="rId1816" Type="http://schemas.openxmlformats.org/officeDocument/2006/relationships/hyperlink" Target="https://search.ancestryinstitution.com/aird/search/db.aspx?dbid=1082" TargetMode="External"/><Relationship Id="rId3031" Type="http://schemas.openxmlformats.org/officeDocument/2006/relationships/hyperlink" Target="https://search.ancestryinstitution.com/aird/search/db.aspx?dbid=2502" TargetMode="External"/><Relationship Id="rId2797" Type="http://schemas.openxmlformats.org/officeDocument/2006/relationships/hyperlink" Target="https://catalog.archives.gov/search?q=*:*&amp;f.ancestorNaIds=4522192&amp;sort=naIdSort%20asc" TargetMode="External"/><Relationship Id="rId769" Type="http://schemas.openxmlformats.org/officeDocument/2006/relationships/hyperlink" Target="https://ancestry.com/" TargetMode="External"/><Relationship Id="rId976" Type="http://schemas.openxmlformats.org/officeDocument/2006/relationships/hyperlink" Target="https://catalog.archives.gov/search?q=A4052&amp;f.ancestorNaIds=3725165&amp;sort=naIdSort%20asc" TargetMode="External"/><Relationship Id="rId1399" Type="http://schemas.openxmlformats.org/officeDocument/2006/relationships/hyperlink" Target="https://search.ancestryinstitution.com/aird/search/db.aspx?dbid=1264" TargetMode="External"/><Relationship Id="rId2657" Type="http://schemas.openxmlformats.org/officeDocument/2006/relationships/hyperlink" Target="https://familysearch.org/search/collection/2191222" TargetMode="External"/><Relationship Id="rId629" Type="http://schemas.openxmlformats.org/officeDocument/2006/relationships/hyperlink" Target="https://catalog.archives.gov/search?q=*:*&amp;f.ancestorNaIds=2669132" TargetMode="External"/><Relationship Id="rId1259" Type="http://schemas.openxmlformats.org/officeDocument/2006/relationships/hyperlink" Target="https://catalog.archives.gov/search-within/300398?page=2&amp;q=record.microformPublications.identifier%3AM402&amp;sort=title%3Aasc" TargetMode="External"/><Relationship Id="rId1466" Type="http://schemas.openxmlformats.org/officeDocument/2006/relationships/hyperlink" Target="http://www.fold3.com/title_626/civil_war_subversion_investigations/" TargetMode="External"/><Relationship Id="rId2864" Type="http://schemas.openxmlformats.org/officeDocument/2006/relationships/hyperlink" Target="https://catalog.archives.gov/search?q=*:*&amp;f.ancestorNaIds=4693984&amp;sort=titleSort%20asc" TargetMode="External"/><Relationship Id="rId836" Type="http://schemas.openxmlformats.org/officeDocument/2006/relationships/hyperlink" Target="https://catalog.archives.gov/search?q=A3847&amp;f.ancestorNaIds=2674794&amp;sort=naIdSort%20asc" TargetMode="External"/><Relationship Id="rId1119" Type="http://schemas.openxmlformats.org/officeDocument/2006/relationships/hyperlink" Target="https://search.ancestryinstitution.com/aird/search/db.aspx?dbid=7485" TargetMode="External"/><Relationship Id="rId1673" Type="http://schemas.openxmlformats.org/officeDocument/2006/relationships/hyperlink" Target="https://www.fold3.com/title/120/navy-survivors-certificates" TargetMode="External"/><Relationship Id="rId1880" Type="http://schemas.openxmlformats.org/officeDocument/2006/relationships/hyperlink" Target="https://search.ancestryinstitution.com/aird/search/db.aspx?dbid=1107" TargetMode="External"/><Relationship Id="rId2517" Type="http://schemas.openxmlformats.org/officeDocument/2006/relationships/hyperlink" Target="https://search.ancestryinstitution.com/aird/search/db.aspx?dbid=2503" TargetMode="External"/><Relationship Id="rId2724" Type="http://schemas.openxmlformats.org/officeDocument/2006/relationships/hyperlink" Target="https://search.ancestryinstitution.com/aird/search/db.aspx?dbid=2509" TargetMode="External"/><Relationship Id="rId2931" Type="http://schemas.openxmlformats.org/officeDocument/2006/relationships/hyperlink" Target="https://search.ancestryinstitution.com/aird/search/db.aspx?dbid=2509" TargetMode="External"/><Relationship Id="rId903" Type="http://schemas.openxmlformats.org/officeDocument/2006/relationships/hyperlink" Target="https://search.ancestryinstitution.com/aird/search/db.aspx?dbid=60882" TargetMode="External"/><Relationship Id="rId1326" Type="http://schemas.openxmlformats.org/officeDocument/2006/relationships/hyperlink" Target="http://www.footnote.com/title_860/" TargetMode="External"/><Relationship Id="rId1533" Type="http://schemas.openxmlformats.org/officeDocument/2006/relationships/hyperlink" Target="https://familysearch.org/search/collection/2427901" TargetMode="External"/><Relationship Id="rId1740" Type="http://schemas.openxmlformats.org/officeDocument/2006/relationships/hyperlink" Target="https://search.ancestryinstitution.com/aird/search/db.aspx?dbid=1629" TargetMode="External"/><Relationship Id="rId32" Type="http://schemas.openxmlformats.org/officeDocument/2006/relationships/hyperlink" Target="https://catalog.archives.gov/search-within/4477246?availableOnline=true&amp;sort=naId%3Aasc" TargetMode="External"/><Relationship Id="rId1600" Type="http://schemas.openxmlformats.org/officeDocument/2006/relationships/hyperlink" Target="https://catalog.archives.gov/search?q=M1274&amp;f.ancestorNaIds=563246" TargetMode="External"/><Relationship Id="rId3358" Type="http://schemas.openxmlformats.org/officeDocument/2006/relationships/hyperlink" Target="https://search.ancestryinstitution.com/search/collections/8758/" TargetMode="External"/><Relationship Id="rId279" Type="http://schemas.openxmlformats.org/officeDocument/2006/relationships/hyperlink" Target="https://search.ancestryinstitution.com/aird/search/db.aspx?dbid=2502" TargetMode="External"/><Relationship Id="rId486" Type="http://schemas.openxmlformats.org/officeDocument/2006/relationships/hyperlink" Target="https://www.familysearch.org/search/collection/2426314" TargetMode="External"/><Relationship Id="rId693" Type="http://schemas.openxmlformats.org/officeDocument/2006/relationships/hyperlink" Target="https://search.ancestryinstitution.com/aird/search/db.aspx?dbid=1502" TargetMode="External"/><Relationship Id="rId2167" Type="http://schemas.openxmlformats.org/officeDocument/2006/relationships/hyperlink" Target="https://search.ancestryinstitution.com/aird/search/db.aspx?dbid=60614" TargetMode="External"/><Relationship Id="rId2374" Type="http://schemas.openxmlformats.org/officeDocument/2006/relationships/hyperlink" Target="https://catalog.archives.gov/search?q=*:*&amp;f.ancestorNaIds=1261561&amp;sort=naIdSort%20asc" TargetMode="External"/><Relationship Id="rId2581" Type="http://schemas.openxmlformats.org/officeDocument/2006/relationships/hyperlink" Target="https://catalog.archives.gov/search?q=*:*&amp;f.ancestorNaIds=2173189&amp;sort=naIdSort%20asc" TargetMode="External"/><Relationship Id="rId3218" Type="http://schemas.openxmlformats.org/officeDocument/2006/relationships/hyperlink" Target="https://www.familysearch.org/search/collection/2075263" TargetMode="External"/><Relationship Id="rId139" Type="http://schemas.openxmlformats.org/officeDocument/2006/relationships/hyperlink" Target="https://catalog.archives.gov/search-within/2825772?availableOnline=true&amp;sort=naId%3Aasc" TargetMode="External"/><Relationship Id="rId346" Type="http://schemas.openxmlformats.org/officeDocument/2006/relationships/hyperlink" Target="http://familysearch.org/" TargetMode="External"/><Relationship Id="rId553" Type="http://schemas.openxmlformats.org/officeDocument/2006/relationships/hyperlink" Target="https://catalog.archives.gov/search?q=*:*&amp;f.ancestorNaIds=2838383" TargetMode="External"/><Relationship Id="rId760" Type="http://schemas.openxmlformats.org/officeDocument/2006/relationships/hyperlink" Target="https://search.ancestryinstitution.com/aird/search/db.aspx?dbid=9220" TargetMode="External"/><Relationship Id="rId1183" Type="http://schemas.openxmlformats.org/officeDocument/2006/relationships/hyperlink" Target="https://familysearch.org/search/collection/1854310" TargetMode="External"/><Relationship Id="rId1390" Type="http://schemas.openxmlformats.org/officeDocument/2006/relationships/hyperlink" Target="https://search.ancestryinstitution.com/aird/search/db.aspx?dbid=8057" TargetMode="External"/><Relationship Id="rId2027" Type="http://schemas.openxmlformats.org/officeDocument/2006/relationships/hyperlink" Target="https://catalog.archives.gov/search?q=Pearl%20Harbor&amp;f.ancestorNaIds=594996" TargetMode="External"/><Relationship Id="rId2234" Type="http://schemas.openxmlformats.org/officeDocument/2006/relationships/hyperlink" Target="https://catalog.archives.gov/search?q=*:*&amp;f.ancestorNaIds=656399&amp;sort=naIdSort%20asc&amp;f.oldScope=online&amp;f.level=fileunit" TargetMode="External"/><Relationship Id="rId2441" Type="http://schemas.openxmlformats.org/officeDocument/2006/relationships/hyperlink" Target="https://www.fold3.com/title_816/wwii_draft_registration_cards" TargetMode="External"/><Relationship Id="rId206" Type="http://schemas.openxmlformats.org/officeDocument/2006/relationships/hyperlink" Target="https://search.ancestryinstitution.com/aird/search/db.aspx?dbid=1595" TargetMode="External"/><Relationship Id="rId413" Type="http://schemas.openxmlformats.org/officeDocument/2006/relationships/hyperlink" Target="https://search.ancestryinstitution.com/aird/search/db.aspx?dbid=2259" TargetMode="External"/><Relationship Id="rId1043" Type="http://schemas.openxmlformats.org/officeDocument/2006/relationships/hyperlink" Target="https://catalog.archives.gov/search?q=A4148&amp;f.ancestorNaIds=3190017&amp;sort=naIdSort%20asc" TargetMode="External"/><Relationship Id="rId620" Type="http://schemas.openxmlformats.org/officeDocument/2006/relationships/hyperlink" Target="https://catalog.archives.gov/search?q=A3551&amp;f.ancestorNaIds=2990193&amp;sort=naIdSort%20asc" TargetMode="External"/><Relationship Id="rId1250" Type="http://schemas.openxmlformats.org/officeDocument/2006/relationships/hyperlink" Target="https://familysearch.org/search/collection/1932392" TargetMode="External"/><Relationship Id="rId2301" Type="http://schemas.openxmlformats.org/officeDocument/2006/relationships/hyperlink" Target="https://familysearch.org/search/collection/2173973" TargetMode="External"/><Relationship Id="rId1110" Type="http://schemas.openxmlformats.org/officeDocument/2006/relationships/hyperlink" Target="https://familysearch.org/search/collection/1877095" TargetMode="External"/><Relationship Id="rId1927" Type="http://schemas.openxmlformats.org/officeDocument/2006/relationships/hyperlink" Target="https://catalog.archives.gov/search-within/300398?page=2&amp;q=record.microformPublications.identifier%3AM1898&amp;sort=title%3Aasc" TargetMode="External"/><Relationship Id="rId3075" Type="http://schemas.openxmlformats.org/officeDocument/2006/relationships/hyperlink" Target="https://catalog.archives.gov/search?q=*:*&amp;f.ancestorNaIds=6821421&amp;sort=naIdSort%20asc&amp;f.fileFormat=image%2Fjpeg" TargetMode="External"/><Relationship Id="rId3282" Type="http://schemas.openxmlformats.org/officeDocument/2006/relationships/hyperlink" Target="https://aad.archives.gov/aad/fielded-search.jsp?dt=2102&amp;cat=GP44&amp;tf=F&amp;bc=,sl" TargetMode="External"/><Relationship Id="rId2091" Type="http://schemas.openxmlformats.org/officeDocument/2006/relationships/hyperlink" Target="https://search.ancestryinstitution.com/aird/search/db.aspx?dbid=2504" TargetMode="External"/><Relationship Id="rId3142" Type="http://schemas.openxmlformats.org/officeDocument/2006/relationships/hyperlink" Target="https://www.fold3.com/title_816/wwii_draft_registration_cards" TargetMode="External"/><Relationship Id="rId270" Type="http://schemas.openxmlformats.org/officeDocument/2006/relationships/hyperlink" Target="https://catalog.archives.gov/search?q=*:*&amp;f.ancestorNaIds=2228488" TargetMode="External"/><Relationship Id="rId3002" Type="http://schemas.openxmlformats.org/officeDocument/2006/relationships/hyperlink" Target="https://www.fold3.com/title_816/wwii_draft_registration_cards" TargetMode="External"/><Relationship Id="rId130" Type="http://schemas.openxmlformats.org/officeDocument/2006/relationships/hyperlink" Target="https://search.ancestryinstitution.com/aird/search/db.aspx?dbid=8722" TargetMode="External"/><Relationship Id="rId2768" Type="http://schemas.openxmlformats.org/officeDocument/2006/relationships/hyperlink" Target="https://search.ancestryinstitution.com/aird/search/db.aspx?dbid=2507" TargetMode="External"/><Relationship Id="rId2975" Type="http://schemas.openxmlformats.org/officeDocument/2006/relationships/hyperlink" Target="https://www.familysearch.org/wiki/en/Rhode_Island_Taxation" TargetMode="External"/><Relationship Id="rId947" Type="http://schemas.openxmlformats.org/officeDocument/2006/relationships/hyperlink" Target="https://catalog.archives.gov/search?q=A4003&amp;f.ancestorNaIds=3493135&amp;sort=naIdSort%20asc" TargetMode="External"/><Relationship Id="rId1577" Type="http://schemas.openxmlformats.org/officeDocument/2006/relationships/hyperlink" Target="https://search.ancestryinstitution.com/aird/search/db.aspx?dbid=1192" TargetMode="External"/><Relationship Id="rId1784" Type="http://schemas.openxmlformats.org/officeDocument/2006/relationships/hyperlink" Target="https://catalog.archives.gov/search?q=*:*&amp;f.ancestorNaIds=59580301&amp;sort=naIdSort%20asc" TargetMode="External"/><Relationship Id="rId1991" Type="http://schemas.openxmlformats.org/officeDocument/2006/relationships/hyperlink" Target="https://www.fold3.com/title/116/naturalizations-oh-northern" TargetMode="External"/><Relationship Id="rId2628" Type="http://schemas.openxmlformats.org/officeDocument/2006/relationships/hyperlink" Target="https://search.ancestryinstitution.com/aird/search/db.aspx?dbid=1850" TargetMode="External"/><Relationship Id="rId2835" Type="http://schemas.openxmlformats.org/officeDocument/2006/relationships/hyperlink" Target="https://www.fold3.com/title_816/wwii_draft_registration_cards" TargetMode="External"/><Relationship Id="rId76" Type="http://schemas.openxmlformats.org/officeDocument/2006/relationships/hyperlink" Target="https://search.ancestryinstitution.com/search/db.aspx?dbid=8722" TargetMode="External"/><Relationship Id="rId807" Type="http://schemas.openxmlformats.org/officeDocument/2006/relationships/hyperlink" Target="https://search.ancestryinstitution.com/aird/search/db.aspx?dbid=9220" TargetMode="External"/><Relationship Id="rId1437" Type="http://schemas.openxmlformats.org/officeDocument/2006/relationships/hyperlink" Target="https://search.ancestryinstitution.com/aird/search/db.aspx?dbid=1264" TargetMode="External"/><Relationship Id="rId1644" Type="http://schemas.openxmlformats.org/officeDocument/2006/relationships/hyperlink" Target="https://catalog.archives.gov/search?q=M1408&amp;f.ancestorNaIds=580492" TargetMode="External"/><Relationship Id="rId1851" Type="http://schemas.openxmlformats.org/officeDocument/2006/relationships/hyperlink" Target="https://familysearch.org/search/collection/1932417" TargetMode="External"/><Relationship Id="rId2902" Type="http://schemas.openxmlformats.org/officeDocument/2006/relationships/hyperlink" Target="https://search.ancestryinstitution.com/aird/search/db.aspx?dbid=2507" TargetMode="External"/><Relationship Id="rId1504" Type="http://schemas.openxmlformats.org/officeDocument/2006/relationships/hyperlink" Target="https://familysearch.org/search/collection/2427901" TargetMode="External"/><Relationship Id="rId1711" Type="http://schemas.openxmlformats.org/officeDocument/2006/relationships/hyperlink" Target="https://familysearch.org/search/collection/1849628" TargetMode="External"/><Relationship Id="rId597" Type="http://schemas.openxmlformats.org/officeDocument/2006/relationships/hyperlink" Target="https://catalog.archives.gov/search?q=*:*&amp;f.ancestorNaIds=2837559" TargetMode="External"/><Relationship Id="rId2278" Type="http://schemas.openxmlformats.org/officeDocument/2006/relationships/hyperlink" Target="https://search.ancestryinstitution.com/aird/search/db.aspx?dbid=60542" TargetMode="External"/><Relationship Id="rId2485" Type="http://schemas.openxmlformats.org/officeDocument/2006/relationships/hyperlink" Target="https://search.ancestryinstitution.com/aird/search/db.aspx?dbid=2500" TargetMode="External"/><Relationship Id="rId3329" Type="http://schemas.openxmlformats.org/officeDocument/2006/relationships/hyperlink" Target="https://www.fold3.com/title/643/census-us-federal-1900" TargetMode="External"/><Relationship Id="rId457" Type="http://schemas.openxmlformats.org/officeDocument/2006/relationships/hyperlink" Target="https://search.ancestryinstitution.com/search/db.aspx?dbid=1277" TargetMode="External"/><Relationship Id="rId1087" Type="http://schemas.openxmlformats.org/officeDocument/2006/relationships/hyperlink" Target="https://familysearch.org/search/collection/2432943" TargetMode="External"/><Relationship Id="rId1294" Type="http://schemas.openxmlformats.org/officeDocument/2006/relationships/hyperlink" Target="http://www.footnote.com/title_917/" TargetMode="External"/><Relationship Id="rId2138" Type="http://schemas.openxmlformats.org/officeDocument/2006/relationships/hyperlink" Target="https://familysearch.org/search/collection/2212212" TargetMode="External"/><Relationship Id="rId2692" Type="http://schemas.openxmlformats.org/officeDocument/2006/relationships/hyperlink" Target="https://search.ancestryinstitution.com/aird/search/db.aspx?dbid=2500" TargetMode="External"/><Relationship Id="rId664" Type="http://schemas.openxmlformats.org/officeDocument/2006/relationships/hyperlink" Target="https://catalog.archives.gov/search?q=A3594&amp;f.ancestorNaIds=2805920" TargetMode="External"/><Relationship Id="rId871" Type="http://schemas.openxmlformats.org/officeDocument/2006/relationships/hyperlink" Target="https://search.ancestryinstitution.com/aird/search/db.aspx?dbid=60501" TargetMode="External"/><Relationship Id="rId2345" Type="http://schemas.openxmlformats.org/officeDocument/2006/relationships/hyperlink" Target="https://catalog.archives.gov/search?q=*:*&amp;f.ancestorNaIds=1226169&amp;sort=naIdSort%20asc" TargetMode="External"/><Relationship Id="rId2552" Type="http://schemas.openxmlformats.org/officeDocument/2006/relationships/hyperlink" Target="https://search.ancestryinstitution.com/aird/search/db.aspx?dbid=2503" TargetMode="External"/><Relationship Id="rId317" Type="http://schemas.openxmlformats.org/officeDocument/2006/relationships/hyperlink" Target="https://catalog.archives.gov/search?q=*:*&amp;f.ancestorNaIds=24329954" TargetMode="External"/><Relationship Id="rId524" Type="http://schemas.openxmlformats.org/officeDocument/2006/relationships/hyperlink" Target="https://www.familysearch.org/search/collection/2451053" TargetMode="External"/><Relationship Id="rId731" Type="http://schemas.openxmlformats.org/officeDocument/2006/relationships/hyperlink" Target="https://ancestry.com/" TargetMode="External"/><Relationship Id="rId1154" Type="http://schemas.openxmlformats.org/officeDocument/2006/relationships/hyperlink" Target="https://search.ancestry.com/search/db.aspx?dbid=2322" TargetMode="External"/><Relationship Id="rId1361" Type="http://schemas.openxmlformats.org/officeDocument/2006/relationships/hyperlink" Target="http://www.fold3.com/title_822/" TargetMode="External"/><Relationship Id="rId2205" Type="http://schemas.openxmlformats.org/officeDocument/2006/relationships/hyperlink" Target="https://search.ancestryinstitution.com/aird/search/db.aspx?dbid=1692" TargetMode="External"/><Relationship Id="rId2412" Type="http://schemas.openxmlformats.org/officeDocument/2006/relationships/hyperlink" Target="https://catalog.archives.gov/search?q=*:*&amp;f.ancestorNaIds=2111795&amp;sort=naIdSort%20asc" TargetMode="External"/><Relationship Id="rId1014" Type="http://schemas.openxmlformats.org/officeDocument/2006/relationships/hyperlink" Target="https://search.ancestryinstitution.com/aird/search/db.aspx?dbid=9220" TargetMode="External"/><Relationship Id="rId1221" Type="http://schemas.openxmlformats.org/officeDocument/2006/relationships/hyperlink" Target="https://catalog.archives.gov/search?q=*:*&amp;f.ancestorNaIds=5121373&amp;sort=naIdSort%20asc" TargetMode="External"/><Relationship Id="rId3186" Type="http://schemas.openxmlformats.org/officeDocument/2006/relationships/hyperlink" Target="https://catalog.archives.gov/search?q=*:*&amp;f.ancestorNaIds=7820310&amp;sort=naIdSort%20asc" TargetMode="External"/><Relationship Id="rId3046" Type="http://schemas.openxmlformats.org/officeDocument/2006/relationships/hyperlink" Target="https://catalog.archives.gov/search?q=*:*&amp;f.ancestorNaIds=6125748&amp;sort=naIdSort%20asc&amp;f.fileFormat=image%2Fjpeg" TargetMode="External"/><Relationship Id="rId3253" Type="http://schemas.openxmlformats.org/officeDocument/2006/relationships/hyperlink" Target="http://familysearch.org/" TargetMode="External"/><Relationship Id="rId174" Type="http://schemas.openxmlformats.org/officeDocument/2006/relationships/hyperlink" Target="https://catalog.archives.gov/search-within/2848782?availableOnline=true&amp;sort=naId%3Aasc" TargetMode="External"/><Relationship Id="rId381" Type="http://schemas.openxmlformats.org/officeDocument/2006/relationships/hyperlink" Target="https://catalog.archives.gov/search?q=*:*&amp;f.ancestorNaIds=4492412&amp;sort=naIdSort%20asc" TargetMode="External"/><Relationship Id="rId2062" Type="http://schemas.openxmlformats.org/officeDocument/2006/relationships/hyperlink" Target="https://catalog.archives.gov/search-within/563733" TargetMode="External"/><Relationship Id="rId3113" Type="http://schemas.openxmlformats.org/officeDocument/2006/relationships/hyperlink" Target="http://familysearch.org/" TargetMode="External"/><Relationship Id="rId241" Type="http://schemas.openxmlformats.org/officeDocument/2006/relationships/hyperlink" Target="https://search.ancestryinstitution.com/aird/search/db.aspx?dbid=1616" TargetMode="External"/><Relationship Id="rId3320" Type="http://schemas.openxmlformats.org/officeDocument/2006/relationships/hyperlink" Target="https://catalog.archives.gov/search?q=P2293&amp;f.ancestorNaIds=559527" TargetMode="External"/><Relationship Id="rId2879" Type="http://schemas.openxmlformats.org/officeDocument/2006/relationships/hyperlink" Target="https://www.familysearch.org/search/catalog/3303033" TargetMode="External"/><Relationship Id="rId101" Type="http://schemas.openxmlformats.org/officeDocument/2006/relationships/hyperlink" Target="https://catalog.archives.gov/search-within/2979354?availableOnline=true&amp;sort=naId%3Aasc" TargetMode="External"/><Relationship Id="rId1688" Type="http://schemas.openxmlformats.org/officeDocument/2006/relationships/hyperlink" Target="https://search.ancestryinstitution.com/aird/search/db.aspx?dbid=8945" TargetMode="External"/><Relationship Id="rId1895" Type="http://schemas.openxmlformats.org/officeDocument/2006/relationships/hyperlink" Target="https://catalog.archives.gov/search?q=*:*&amp;f.ancestorNaIds=7595356&amp;sort=naIdSort%20asc" TargetMode="External"/><Relationship Id="rId2739" Type="http://schemas.openxmlformats.org/officeDocument/2006/relationships/hyperlink" Target="https://www.familysearch.org/wiki/en/Puerto_Rico,_Naturalization_Records_-_FamilySearch_Historical_Records" TargetMode="External"/><Relationship Id="rId2946" Type="http://schemas.openxmlformats.org/officeDocument/2006/relationships/hyperlink" Target="https://search.ancestryinstitution.com/aird/search/db.aspx?dbid=2501" TargetMode="External"/><Relationship Id="rId918" Type="http://schemas.openxmlformats.org/officeDocument/2006/relationships/hyperlink" Target="https://ancestry.com/" TargetMode="External"/><Relationship Id="rId1548" Type="http://schemas.openxmlformats.org/officeDocument/2006/relationships/hyperlink" Target="https://familysearch.org/search/collection/2427894" TargetMode="External"/><Relationship Id="rId1755" Type="http://schemas.openxmlformats.org/officeDocument/2006/relationships/hyperlink" Target="https://familysearch.org/search/collection/2075263" TargetMode="External"/><Relationship Id="rId1408" Type="http://schemas.openxmlformats.org/officeDocument/2006/relationships/hyperlink" Target="https://familysearch.org/search/collection/2075263" TargetMode="External"/><Relationship Id="rId1962" Type="http://schemas.openxmlformats.org/officeDocument/2006/relationships/hyperlink" Target="https://catalog.archives.gov/search?q=m1949%20fold3&amp;f.oldScope=online&amp;f.level=fileunit&amp;f.recordGroupNoCollectionId=260" TargetMode="External"/><Relationship Id="rId2806" Type="http://schemas.openxmlformats.org/officeDocument/2006/relationships/hyperlink" Target="https://search.ancestryinstitution.com/aird/search/db.aspx?dbid=2512" TargetMode="External"/><Relationship Id="rId47" Type="http://schemas.openxmlformats.org/officeDocument/2006/relationships/hyperlink" Target="https://catalog.archives.gov/search-within/2580123?availableOnline=true&amp;sort=naId%3Aasc" TargetMode="External"/><Relationship Id="rId1615" Type="http://schemas.openxmlformats.org/officeDocument/2006/relationships/hyperlink" Target="https://familysearch.org/search/collection/2019835" TargetMode="External"/><Relationship Id="rId1822" Type="http://schemas.openxmlformats.org/officeDocument/2006/relationships/hyperlink" Target="https://search.ancestryinstitution.com/aird/search/db.aspx?dbid=1217" TargetMode="External"/><Relationship Id="rId2389" Type="http://schemas.openxmlformats.org/officeDocument/2006/relationships/hyperlink" Target="https://search.ancestryinstitution.com/aird/search/db.aspx?dbid=2505" TargetMode="External"/><Relationship Id="rId2596" Type="http://schemas.openxmlformats.org/officeDocument/2006/relationships/hyperlink" Target="https://search.ancestryinstitution.com/aird/search/db.aspx?dbid=2509" TargetMode="External"/><Relationship Id="rId568" Type="http://schemas.openxmlformats.org/officeDocument/2006/relationships/hyperlink" Target="https://search.ancestryinstitution.com/aird/search/db.aspx?dbid=5309" TargetMode="External"/><Relationship Id="rId775" Type="http://schemas.openxmlformats.org/officeDocument/2006/relationships/hyperlink" Target="https://catalog.archives.gov/search?q=A3741&amp;f.ancestorNaIds=2679420" TargetMode="External"/><Relationship Id="rId982" Type="http://schemas.openxmlformats.org/officeDocument/2006/relationships/hyperlink" Target="https://catalog.archives.gov/search?q=A4063&amp;f.ancestorNaIds=3174903&amp;sort=naIdSort%20asc" TargetMode="External"/><Relationship Id="rId1198" Type="http://schemas.openxmlformats.org/officeDocument/2006/relationships/hyperlink" Target="https://search.ancestryinstitution.com/aird/search/db.aspx?dbid=2322" TargetMode="External"/><Relationship Id="rId2249" Type="http://schemas.openxmlformats.org/officeDocument/2006/relationships/hyperlink" Target="https://search.ancestryinstitution.com/aird/search/db.aspx?dbid=2508" TargetMode="External"/><Relationship Id="rId2456" Type="http://schemas.openxmlformats.org/officeDocument/2006/relationships/hyperlink" Target="https://catalog.archives.gov/search?q=*:*&amp;f.ancestorNaIds=2216729&amp;sort=naIdSort%20asc" TargetMode="External"/><Relationship Id="rId2663" Type="http://schemas.openxmlformats.org/officeDocument/2006/relationships/hyperlink" Target="https://search.ancestryinstitution.com/aird/search/db.aspx?dbid=1850" TargetMode="External"/><Relationship Id="rId2870" Type="http://schemas.openxmlformats.org/officeDocument/2006/relationships/hyperlink" Target="https://catalog.archives.gov/search?q=*:*&amp;f.ancestorNaIds=4695966&amp;sort=titleSort%20asc" TargetMode="External"/><Relationship Id="rId428" Type="http://schemas.openxmlformats.org/officeDocument/2006/relationships/hyperlink" Target="https://search.ancestryinstitution.com/search/db.aspx?dbid=1027" TargetMode="External"/><Relationship Id="rId635" Type="http://schemas.openxmlformats.org/officeDocument/2006/relationships/hyperlink" Target="https://search.ancestryinstitution.com/aird/search/db.aspx?dbid=1502" TargetMode="External"/><Relationship Id="rId842" Type="http://schemas.openxmlformats.org/officeDocument/2006/relationships/hyperlink" Target="https://catalog.archives.gov/search?q=A3854&amp;f.ancestorNaIds=2788074&amp;sort=naIdSort%20asc" TargetMode="External"/><Relationship Id="rId1058" Type="http://schemas.openxmlformats.org/officeDocument/2006/relationships/hyperlink" Target="https://catalog.archives.gov/search?q=A4173&amp;f.ancestorNaIds=3514916&amp;sort=naIdSort%20asc" TargetMode="External"/><Relationship Id="rId1265" Type="http://schemas.openxmlformats.org/officeDocument/2006/relationships/hyperlink" Target="https://familysearch.org/search/collection/1932397" TargetMode="External"/><Relationship Id="rId1472" Type="http://schemas.openxmlformats.org/officeDocument/2006/relationships/hyperlink" Target="https://search.ancestryinstitution.com/search/db.aspx?dbid=1995" TargetMode="External"/><Relationship Id="rId2109" Type="http://schemas.openxmlformats.org/officeDocument/2006/relationships/hyperlink" Target="https://catalog.archives.gov/search?q=*:*&amp;f.ancestorNaIds=578685&amp;sort=naIdSort%20asc" TargetMode="External"/><Relationship Id="rId2316" Type="http://schemas.openxmlformats.org/officeDocument/2006/relationships/hyperlink" Target="https://search.ancestryinstitution.com/aird/search/db.aspx?dbid=2505" TargetMode="External"/><Relationship Id="rId2523" Type="http://schemas.openxmlformats.org/officeDocument/2006/relationships/hyperlink" Target="http://www.fold3.com/title_765/" TargetMode="External"/><Relationship Id="rId2730" Type="http://schemas.openxmlformats.org/officeDocument/2006/relationships/hyperlink" Target="https://catalog.archives.gov/search-within/4488656" TargetMode="External"/><Relationship Id="rId702" Type="http://schemas.openxmlformats.org/officeDocument/2006/relationships/hyperlink" Target="https://search.ancestryinstitution.com/aird/search/db.aspx?dbid=9119" TargetMode="External"/><Relationship Id="rId1125" Type="http://schemas.openxmlformats.org/officeDocument/2006/relationships/hyperlink" Target="https://www.fold3.com/title/63/continental-congress-papers" TargetMode="External"/><Relationship Id="rId1332" Type="http://schemas.openxmlformats.org/officeDocument/2006/relationships/hyperlink" Target="http://www.fold3.com/title_775/" TargetMode="External"/><Relationship Id="rId3297" Type="http://schemas.openxmlformats.org/officeDocument/2006/relationships/hyperlink" Target="https://familysearch.org/search/collection/2127916" TargetMode="External"/><Relationship Id="rId3157" Type="http://schemas.openxmlformats.org/officeDocument/2006/relationships/hyperlink" Target="https://search.ancestryinstitution.com/aird/search/db.aspx?dbid=2238" TargetMode="External"/><Relationship Id="rId285" Type="http://schemas.openxmlformats.org/officeDocument/2006/relationships/hyperlink" Target="https://search.ancestryinstitution.com/aird/search/db.aspx?dbid=2505" TargetMode="External"/><Relationship Id="rId3364" Type="http://schemas.openxmlformats.org/officeDocument/2006/relationships/hyperlink" Target="https://catalog.archives.gov/search?q=*:*&amp;f.ancestorNaIds=581096&amp;sort=naIdSort%20asc" TargetMode="External"/><Relationship Id="rId492" Type="http://schemas.openxmlformats.org/officeDocument/2006/relationships/hyperlink" Target="https://www.familysearch.org/search/collection/2479258" TargetMode="External"/><Relationship Id="rId2173" Type="http://schemas.openxmlformats.org/officeDocument/2006/relationships/hyperlink" Target="https://search.ancestryinstitution.com/aird/search/db.aspx?dbid=60615" TargetMode="External"/><Relationship Id="rId2380" Type="http://schemas.openxmlformats.org/officeDocument/2006/relationships/hyperlink" Target="https://catalog.archives.gov/search?q=*:*&amp;f.ancestorNaIds=1263018&amp;sort=naIdSort%20asc" TargetMode="External"/><Relationship Id="rId3017" Type="http://schemas.openxmlformats.org/officeDocument/2006/relationships/hyperlink" Target="https://search.ancestryinstitution.com/aird/search/db.aspx?dbid=2500" TargetMode="External"/><Relationship Id="rId3224" Type="http://schemas.openxmlformats.org/officeDocument/2006/relationships/hyperlink" Target="https://catalog.archives.gov/search?q=*:*&amp;f.ancestorNaIds=81448495&amp;sort=naIdSort%20asc" TargetMode="External"/><Relationship Id="rId145" Type="http://schemas.openxmlformats.org/officeDocument/2006/relationships/hyperlink" Target="https://catalog.archives.gov/search-within/2788537?availableOnline=true&amp;sort=naId%3Aasc" TargetMode="External"/><Relationship Id="rId352" Type="http://schemas.openxmlformats.org/officeDocument/2006/relationships/hyperlink" Target="https://www.fold3.com/title/635/wwii-captured-german-records/description" TargetMode="External"/><Relationship Id="rId2033" Type="http://schemas.openxmlformats.org/officeDocument/2006/relationships/hyperlink" Target="https://catalog.archives.gov/search?q=*:*&amp;f.ancestorNaIds=7284594&amp;sort=naIdSort%20asc" TargetMode="External"/><Relationship Id="rId2240" Type="http://schemas.openxmlformats.org/officeDocument/2006/relationships/hyperlink" Target="https://search.ancestryinstitution.com/aird/search/db.aspx?dbid=2500" TargetMode="External"/><Relationship Id="rId212" Type="http://schemas.openxmlformats.org/officeDocument/2006/relationships/hyperlink" Target="https://catalog.archives.gov/search?q=M2003&amp;ancestorNaId=12010934" TargetMode="External"/><Relationship Id="rId1799" Type="http://schemas.openxmlformats.org/officeDocument/2006/relationships/hyperlink" Target="https://familysearch.org/search/collection/1849982" TargetMode="External"/><Relationship Id="rId2100" Type="http://schemas.openxmlformats.org/officeDocument/2006/relationships/hyperlink" Target="https://search.ancestryinstitution.com/aird/search/db.aspx?dbid=1002" TargetMode="External"/><Relationship Id="rId1659" Type="http://schemas.openxmlformats.org/officeDocument/2006/relationships/hyperlink" Target="https://search.ancestryinstitution.com/aird/search/db.aspx?dbid=7949" TargetMode="External"/><Relationship Id="rId1866" Type="http://schemas.openxmlformats.org/officeDocument/2006/relationships/hyperlink" Target="https://familysearch.org/search/collection/1932421" TargetMode="External"/><Relationship Id="rId2917" Type="http://schemas.openxmlformats.org/officeDocument/2006/relationships/hyperlink" Target="https://catalog.archives.gov/search-within/4728317" TargetMode="External"/><Relationship Id="rId3081" Type="http://schemas.openxmlformats.org/officeDocument/2006/relationships/hyperlink" Target="https://familysearch.org/search/collection/2120721" TargetMode="External"/><Relationship Id="rId1519" Type="http://schemas.openxmlformats.org/officeDocument/2006/relationships/hyperlink" Target="https://search.ancestryinstitution.com/aird/search/db.aspx?dbid=2237" TargetMode="External"/><Relationship Id="rId1726" Type="http://schemas.openxmlformats.org/officeDocument/2006/relationships/hyperlink" Target="https://search.ancestryinstitution.com/aird/search/db.aspx?dbid=1193" TargetMode="External"/><Relationship Id="rId1933" Type="http://schemas.openxmlformats.org/officeDocument/2006/relationships/hyperlink" Target="https://familysearch.org/search/collection/1840496" TargetMode="External"/><Relationship Id="rId18" Type="http://schemas.openxmlformats.org/officeDocument/2006/relationships/hyperlink" Target="https://search.ancestryinstitution.com/aird/search/db.aspx?dbid=2996" TargetMode="External"/><Relationship Id="rId679" Type="http://schemas.openxmlformats.org/officeDocument/2006/relationships/hyperlink" Target="https://catalog.archives.gov/search?q=A3606&amp;f.ancestorNaIds=2669073&amp;sort=naIdSort%20asc" TargetMode="External"/><Relationship Id="rId886" Type="http://schemas.openxmlformats.org/officeDocument/2006/relationships/hyperlink" Target="https://catalog.archives.gov/search?q=A3932&amp;f.ancestorNaIds=2934396&amp;sort=naIdSort%20asc" TargetMode="External"/><Relationship Id="rId2567" Type="http://schemas.openxmlformats.org/officeDocument/2006/relationships/hyperlink" Target="https://search.ancestryinstitution.com/aird/search/db.aspx?dbid=2509" TargetMode="External"/><Relationship Id="rId2774" Type="http://schemas.openxmlformats.org/officeDocument/2006/relationships/hyperlink" Target="https://search.ancestryinstitution.com/aird/search/db.aspx?dbid=2509" TargetMode="External"/><Relationship Id="rId2" Type="http://schemas.openxmlformats.org/officeDocument/2006/relationships/hyperlink" Target="https://search.ancestryinstitution.com/aird/search/db.aspx?dbid=9220" TargetMode="External"/><Relationship Id="rId539" Type="http://schemas.openxmlformats.org/officeDocument/2006/relationships/hyperlink" Target="https://catalog.archives.gov/search?q=*:*&amp;f.ancestorNaIds=4005566&amp;sort=naIdSort%20asc" TargetMode="External"/><Relationship Id="rId746" Type="http://schemas.openxmlformats.org/officeDocument/2006/relationships/hyperlink" Target="https://catalog.archives.gov/search?q=A3686&amp;f.ancestorNaIds=2906038&amp;sort=naIdSort%20asc" TargetMode="External"/><Relationship Id="rId1169" Type="http://schemas.openxmlformats.org/officeDocument/2006/relationships/hyperlink" Target="https://search.ancestryinstitution.com/aird/search/db.aspx?dbid=8745" TargetMode="External"/><Relationship Id="rId1376" Type="http://schemas.openxmlformats.org/officeDocument/2006/relationships/hyperlink" Target="https://www.fold3.com/title/464/ratified-indian-treaties" TargetMode="External"/><Relationship Id="rId1583" Type="http://schemas.openxmlformats.org/officeDocument/2006/relationships/hyperlink" Target="https://search.ancestryinstitution.com/aird/search/db.aspx?dbid=1241" TargetMode="External"/><Relationship Id="rId2427" Type="http://schemas.openxmlformats.org/officeDocument/2006/relationships/hyperlink" Target="https://search.ancestryinstitution.com/aird/search/db.aspx?dbid=1850" TargetMode="External"/><Relationship Id="rId2981" Type="http://schemas.openxmlformats.org/officeDocument/2006/relationships/hyperlink" Target="https://www.familysearch.org/search/collection/2075263" TargetMode="External"/><Relationship Id="rId953" Type="http://schemas.openxmlformats.org/officeDocument/2006/relationships/hyperlink" Target="https://search.ancestryinstitution.com/aird/search/db.aspx?dbid=2996" TargetMode="External"/><Relationship Id="rId1029" Type="http://schemas.openxmlformats.org/officeDocument/2006/relationships/hyperlink" Target="https://catalog.archives.gov/search?q=A4118&amp;f.ancestorNaIds=2990242&amp;sort=naIdSort%20asc" TargetMode="External"/><Relationship Id="rId1236" Type="http://schemas.openxmlformats.org/officeDocument/2006/relationships/hyperlink" Target="https://catalog.archives.gov/search-within/300398?page=2&amp;q=record.microformPublications.identifier%3AM396&amp;sort=title%3Aasc" TargetMode="External"/><Relationship Id="rId1790" Type="http://schemas.openxmlformats.org/officeDocument/2006/relationships/hyperlink" Target="https://search.ancestryinstitution.com/aird/search/db.aspx?dbid=1192" TargetMode="External"/><Relationship Id="rId2634" Type="http://schemas.openxmlformats.org/officeDocument/2006/relationships/hyperlink" Target="https://catalog.archives.gov/search?q=*:*&amp;f.ancestorNaIds=3319522&amp;sort=naIdSort%20asc" TargetMode="External"/><Relationship Id="rId2841" Type="http://schemas.openxmlformats.org/officeDocument/2006/relationships/hyperlink" Target="https://familysearch.org/search/collection/2216301" TargetMode="External"/><Relationship Id="rId82" Type="http://schemas.openxmlformats.org/officeDocument/2006/relationships/hyperlink" Target="https://search.ancestryinstitution.com/aird/search/db.aspx?dbid=8945" TargetMode="External"/><Relationship Id="rId606" Type="http://schemas.openxmlformats.org/officeDocument/2006/relationships/hyperlink" Target="https://search.ancestryinstitution.com/aird/search/db.aspx?dbid=2257" TargetMode="External"/><Relationship Id="rId813" Type="http://schemas.openxmlformats.org/officeDocument/2006/relationships/hyperlink" Target="https://catalog.archives.gov/search?q=A3813&amp;f.ancestorNaIds=3205393&amp;sort=naIdSort%20asc" TargetMode="External"/><Relationship Id="rId1443" Type="http://schemas.openxmlformats.org/officeDocument/2006/relationships/hyperlink" Target="https://search.ancestryinstitution.com/aird/search/db.aspx?dbid=1264" TargetMode="External"/><Relationship Id="rId1650" Type="http://schemas.openxmlformats.org/officeDocument/2006/relationships/hyperlink" Target="https://search.ancestryinstitution.com/aird/search/db.aspx?dbid=7949" TargetMode="External"/><Relationship Id="rId2701" Type="http://schemas.openxmlformats.org/officeDocument/2006/relationships/hyperlink" Target="https://search.ancestryinstitution.com/aird/search/db.aspx?dbid=2509" TargetMode="External"/><Relationship Id="rId1303" Type="http://schemas.openxmlformats.org/officeDocument/2006/relationships/hyperlink" Target="http://www.fold3.com/title_799/" TargetMode="External"/><Relationship Id="rId1510" Type="http://schemas.openxmlformats.org/officeDocument/2006/relationships/hyperlink" Target="http://www.fold3.com/title_789/" TargetMode="External"/><Relationship Id="rId3268" Type="http://schemas.openxmlformats.org/officeDocument/2006/relationships/hyperlink" Target="https://fraser.stlouisfed.org/archival-collection/records-women-s-bureau-5963" TargetMode="External"/><Relationship Id="rId189" Type="http://schemas.openxmlformats.org/officeDocument/2006/relationships/hyperlink" Target="http://www.fold3.com/title_773/" TargetMode="External"/><Relationship Id="rId396" Type="http://schemas.openxmlformats.org/officeDocument/2006/relationships/hyperlink" Target="https://search.ancestryinstitution.com/aird/search/db.aspx?dbid=1082" TargetMode="External"/><Relationship Id="rId2077" Type="http://schemas.openxmlformats.org/officeDocument/2006/relationships/hyperlink" Target="https://search.ancestryinstitution.com/aird/search/db.aspx?dbid=2509" TargetMode="External"/><Relationship Id="rId2284" Type="http://schemas.openxmlformats.org/officeDocument/2006/relationships/hyperlink" Target="https://search.ancestryinstitution.com/aird/search/db.aspx?dbid=1002" TargetMode="External"/><Relationship Id="rId2491" Type="http://schemas.openxmlformats.org/officeDocument/2006/relationships/hyperlink" Target="https://search.ancestryinstitution.com/aird/search/db.aspx?dbid=2505" TargetMode="External"/><Relationship Id="rId3128" Type="http://schemas.openxmlformats.org/officeDocument/2006/relationships/hyperlink" Target="https://search.ancestryinstitution.com/aird/search/db.aspx?dbid=60629" TargetMode="External"/><Relationship Id="rId3335" Type="http://schemas.openxmlformats.org/officeDocument/2006/relationships/hyperlink" Target="https://familysearch.org/search/collection/1727033" TargetMode="External"/><Relationship Id="rId256" Type="http://schemas.openxmlformats.org/officeDocument/2006/relationships/hyperlink" Target="https://catalog.archives.gov/search?q=*:*&amp;f.ancestorNaIds=1157946&amp;sort=titleSort%20asc" TargetMode="External"/><Relationship Id="rId463" Type="http://schemas.openxmlformats.org/officeDocument/2006/relationships/hyperlink" Target="https://catalog.archives.gov/search?q=*:*&amp;f.ancestorNaIds=4477215&amp;sort=naIdSort%20asc" TargetMode="External"/><Relationship Id="rId670" Type="http://schemas.openxmlformats.org/officeDocument/2006/relationships/hyperlink" Target="https://catalog.archives.gov/search?q=*:*&amp;f.ancestorNaIds=2675039" TargetMode="External"/><Relationship Id="rId1093" Type="http://schemas.openxmlformats.org/officeDocument/2006/relationships/hyperlink" Target="https://www.fold3.com/title/492/wwii-jag-case-files-pacific-navy" TargetMode="External"/><Relationship Id="rId2144" Type="http://schemas.openxmlformats.org/officeDocument/2006/relationships/hyperlink" Target="https://search.ancestryinstitution.com/aird/search/db.aspx?dbid=60422" TargetMode="External"/><Relationship Id="rId2351" Type="http://schemas.openxmlformats.org/officeDocument/2006/relationships/hyperlink" Target="https://catalog.archives.gov/search?q=*:*&amp;f.ancestorNaIds=1244181&amp;sort=naIdSort%20asc" TargetMode="External"/><Relationship Id="rId116" Type="http://schemas.openxmlformats.org/officeDocument/2006/relationships/hyperlink" Target="https://search.ancestryinstitution.com/aird/search/db.aspx?dbid=2996" TargetMode="External"/><Relationship Id="rId323" Type="http://schemas.openxmlformats.org/officeDocument/2006/relationships/hyperlink" Target="https://catalog.archives.gov/search?q=*:*&amp;f.ancestorNaIds=24470202" TargetMode="External"/><Relationship Id="rId530" Type="http://schemas.openxmlformats.org/officeDocument/2006/relationships/hyperlink" Target="https://search.ancestryinstitution.com/aird/search/db.aspx?dbid=8758" TargetMode="External"/><Relationship Id="rId1160" Type="http://schemas.openxmlformats.org/officeDocument/2006/relationships/hyperlink" Target="https://catalog.archives.gov/search?q=M270&amp;f.ancestorNaIds=586957" TargetMode="External"/><Relationship Id="rId2004" Type="http://schemas.openxmlformats.org/officeDocument/2006/relationships/hyperlink" Target="https://catalog.archives.gov/search?q=M2012&amp;f.ancestorNaIds=301668&amp;sort=naIdSort%20asc" TargetMode="External"/><Relationship Id="rId2211" Type="http://schemas.openxmlformats.org/officeDocument/2006/relationships/hyperlink" Target="https://catalog.archives.gov/search?q=*:*&amp;f.ancestorNaIds=648598&amp;sort=titleSort%20asc" TargetMode="External"/><Relationship Id="rId1020" Type="http://schemas.openxmlformats.org/officeDocument/2006/relationships/hyperlink" Target="https://catalog.archives.gov/search?q=A4106&amp;f.ancestorNaIds=3249873&amp;sort=naIdSort%20asc" TargetMode="External"/><Relationship Id="rId1977" Type="http://schemas.openxmlformats.org/officeDocument/2006/relationships/hyperlink" Target="https://familysearch.org/search/collection/2060123" TargetMode="External"/><Relationship Id="rId1837" Type="http://schemas.openxmlformats.org/officeDocument/2006/relationships/hyperlink" Target="https://search.ancestryinstitution.com/aird/search/db.aspx?dbid=1042" TargetMode="External"/><Relationship Id="rId3192" Type="http://schemas.openxmlformats.org/officeDocument/2006/relationships/hyperlink" Target="https://catalog.archives.gov/search?q=*:*&amp;f.ancestorNaIds=7820382&amp;sort=naIdSort%20asc" TargetMode="External"/><Relationship Id="rId3052" Type="http://schemas.openxmlformats.org/officeDocument/2006/relationships/hyperlink" Target="https://search.ancestryinstitution.com/aird/search/db.aspx?dbid=1850" TargetMode="External"/><Relationship Id="rId180" Type="http://schemas.openxmlformats.org/officeDocument/2006/relationships/hyperlink" Target="https://ancestry.com/" TargetMode="External"/><Relationship Id="rId1904" Type="http://schemas.openxmlformats.org/officeDocument/2006/relationships/hyperlink" Target="https://catalog.archives.gov/search?q=*:*&amp;f.ancestorNaIds=5634865&amp;sort=naIdSort%20asc" TargetMode="External"/><Relationship Id="rId997" Type="http://schemas.openxmlformats.org/officeDocument/2006/relationships/hyperlink" Target="https://search.ancestryinstitution.com/aird/search/db.aspx?dbid=8842" TargetMode="External"/><Relationship Id="rId2678" Type="http://schemas.openxmlformats.org/officeDocument/2006/relationships/hyperlink" Target="https://search.ancestryinstitution.com/aird/search/db.aspx?dbid=2509" TargetMode="External"/><Relationship Id="rId2885" Type="http://schemas.openxmlformats.org/officeDocument/2006/relationships/hyperlink" Target="https://search.ancestryinstitution.com/aird/search/db.aspx?dbid=2508" TargetMode="External"/><Relationship Id="rId857" Type="http://schemas.openxmlformats.org/officeDocument/2006/relationships/hyperlink" Target="https://catalog.archives.gov/search?q=A3874&amp;f.ancestorNaIds=2790748&amp;sort=naIdSort%20asc" TargetMode="External"/><Relationship Id="rId1487" Type="http://schemas.openxmlformats.org/officeDocument/2006/relationships/hyperlink" Target="https://search.ancestryinstitution.com/aird/search/db.aspx?dbid=1932" TargetMode="External"/><Relationship Id="rId1694" Type="http://schemas.openxmlformats.org/officeDocument/2006/relationships/hyperlink" Target="https://search.ancestryinstitution.com/aird/search/db.aspx?dbid=2892" TargetMode="External"/><Relationship Id="rId2538" Type="http://schemas.openxmlformats.org/officeDocument/2006/relationships/hyperlink" Target="https://search.ancestryinstitution.com/aird/search/db.aspx?dbid=2503" TargetMode="External"/><Relationship Id="rId2745" Type="http://schemas.openxmlformats.org/officeDocument/2006/relationships/hyperlink" Target="https://search.ancestryinstitution.com/aird/search/db.aspx?dbid=2507" TargetMode="External"/><Relationship Id="rId2952" Type="http://schemas.openxmlformats.org/officeDocument/2006/relationships/hyperlink" Target="https://catalog.archives.gov/search-within/5664159" TargetMode="External"/><Relationship Id="rId717" Type="http://schemas.openxmlformats.org/officeDocument/2006/relationships/hyperlink" Target="https://familysearch.org/search/collection/2443352" TargetMode="External"/><Relationship Id="rId924" Type="http://schemas.openxmlformats.org/officeDocument/2006/relationships/hyperlink" Target="https://search.ancestryinstitution.com/aird/search/db.aspx?dbid=9126" TargetMode="External"/><Relationship Id="rId1347" Type="http://schemas.openxmlformats.org/officeDocument/2006/relationships/hyperlink" Target="https://search.ancestryinstitution.com/aird/search/db.aspx?dbid=1124" TargetMode="External"/><Relationship Id="rId1554" Type="http://schemas.openxmlformats.org/officeDocument/2006/relationships/hyperlink" Target="https://catalog.archives.gov/search?q=M1086&amp;f.ancestorNaIds=300395&amp;sort=naIdSort%20asc" TargetMode="External"/><Relationship Id="rId1761" Type="http://schemas.openxmlformats.org/officeDocument/2006/relationships/hyperlink" Target="https://search.ancestryinstitution.com/aird/search/db.aspx?dbid=1554" TargetMode="External"/><Relationship Id="rId2605" Type="http://schemas.openxmlformats.org/officeDocument/2006/relationships/hyperlink" Target="https://search.ancestryinstitution.com/aird/search/db.aspx?dbid=2505" TargetMode="External"/><Relationship Id="rId2812" Type="http://schemas.openxmlformats.org/officeDocument/2006/relationships/hyperlink" Target="https://catalog.archives.gov/search?q=*:*&amp;f.ancestorNaIds=4526774&amp;sort=naIdSort%20asc" TargetMode="External"/><Relationship Id="rId53" Type="http://schemas.openxmlformats.org/officeDocument/2006/relationships/hyperlink" Target="https://catalog.archives.gov/search-within/2679284?availableOnline=true&amp;sort=naId%3Aasc" TargetMode="External"/><Relationship Id="rId1207" Type="http://schemas.openxmlformats.org/officeDocument/2006/relationships/hyperlink" Target="https://familysearch.org/search/collection/1932377" TargetMode="External"/><Relationship Id="rId1414" Type="http://schemas.openxmlformats.org/officeDocument/2006/relationships/hyperlink" Target="https://familysearch.org/search/collection/2075263" TargetMode="External"/><Relationship Id="rId1621" Type="http://schemas.openxmlformats.org/officeDocument/2006/relationships/hyperlink" Target="https://catalog.archives.gov/search?q=*:*&amp;f.ancestorNaIds=595176&amp;sort=naIdSort%20asc&amp;f.oldScope=online&amp;f.level=fileunit" TargetMode="External"/><Relationship Id="rId3379" Type="http://schemas.openxmlformats.org/officeDocument/2006/relationships/hyperlink" Target="https://catalog.archives.gov/search?q=T1164&amp;f.ancestorNaIds=231364448&amp;sort=naIdSort%20asc" TargetMode="External"/><Relationship Id="rId2188" Type="http://schemas.openxmlformats.org/officeDocument/2006/relationships/hyperlink" Target="https://search.ancestryinstitution.com/aird/search/db.aspx?dbid=3998" TargetMode="External"/><Relationship Id="rId2395" Type="http://schemas.openxmlformats.org/officeDocument/2006/relationships/hyperlink" Target="https://familysearch.org/search/collection/2302948" TargetMode="External"/><Relationship Id="rId3239" Type="http://schemas.openxmlformats.org/officeDocument/2006/relationships/hyperlink" Target="https://www.familysearch.org/search/catalog/4092161" TargetMode="External"/><Relationship Id="rId367" Type="http://schemas.openxmlformats.org/officeDocument/2006/relationships/hyperlink" Target="https://search.ancestryinstitution.com/aird/search/db.aspx?dbid=1027" TargetMode="External"/><Relationship Id="rId574" Type="http://schemas.openxmlformats.org/officeDocument/2006/relationships/hyperlink" Target="https://catalog.archives.gov/search?q=*:*&amp;f.ancestorNaIds=2669423&amp;sort=naIdSort%20asc" TargetMode="External"/><Relationship Id="rId2048" Type="http://schemas.openxmlformats.org/officeDocument/2006/relationships/hyperlink" Target="http://www.footnote.com/title_893/" TargetMode="External"/><Relationship Id="rId2255" Type="http://schemas.openxmlformats.org/officeDocument/2006/relationships/hyperlink" Target="https://search.ancestryinstitution.com/aird/search/db.aspx?dbid=2508" TargetMode="External"/><Relationship Id="rId227" Type="http://schemas.openxmlformats.org/officeDocument/2006/relationships/hyperlink" Target="http://www.footnote.com/title_864/" TargetMode="External"/><Relationship Id="rId781" Type="http://schemas.openxmlformats.org/officeDocument/2006/relationships/hyperlink" Target="https://catalog.archives.gov/search-within/2790555" TargetMode="External"/><Relationship Id="rId2462" Type="http://schemas.openxmlformats.org/officeDocument/2006/relationships/hyperlink" Target="https://catalog.archives.gov/search?q=*:*&amp;f.ancestorNaIds=2217064&amp;sort=naIdSort%20asc" TargetMode="External"/><Relationship Id="rId3306" Type="http://schemas.openxmlformats.org/officeDocument/2006/relationships/hyperlink" Target="https://familysearch.org/search/collection/2127902" TargetMode="External"/><Relationship Id="rId434" Type="http://schemas.openxmlformats.org/officeDocument/2006/relationships/hyperlink" Target="https://search.ancestryinstitution.com/search/db.aspx?dbid=1227" TargetMode="External"/><Relationship Id="rId641" Type="http://schemas.openxmlformats.org/officeDocument/2006/relationships/hyperlink" Target="http://search.ancestryinstitution.com/aird/search/db.aspx?dbid=1502" TargetMode="External"/><Relationship Id="rId1064" Type="http://schemas.openxmlformats.org/officeDocument/2006/relationships/hyperlink" Target="https://ancestry.com/" TargetMode="External"/><Relationship Id="rId1271" Type="http://schemas.openxmlformats.org/officeDocument/2006/relationships/hyperlink" Target="https://search.ancestry.com/search/db.aspx?dbid=2344" TargetMode="External"/><Relationship Id="rId2115" Type="http://schemas.openxmlformats.org/officeDocument/2006/relationships/hyperlink" Target="https://search.ancestryinstitution.com/aird/search/db.aspx?dbid=2509" TargetMode="External"/><Relationship Id="rId2322" Type="http://schemas.openxmlformats.org/officeDocument/2006/relationships/hyperlink" Target="https://search.ancestryinstitution.com/aird/search/db.aspx?dbid=1174" TargetMode="External"/><Relationship Id="rId501" Type="http://schemas.openxmlformats.org/officeDocument/2006/relationships/hyperlink" Target="https://search.ancestryinstitution.com/aird/search/db.aspx?dbid=2138" TargetMode="External"/><Relationship Id="rId1131" Type="http://schemas.openxmlformats.org/officeDocument/2006/relationships/hyperlink" Target="https://search.ancestryinstitution.com/aird/search/db.aspx?dbid=4284" TargetMode="External"/><Relationship Id="rId3096" Type="http://schemas.openxmlformats.org/officeDocument/2006/relationships/hyperlink" Target="http://familysearch.org/" TargetMode="External"/><Relationship Id="rId1948" Type="http://schemas.openxmlformats.org/officeDocument/2006/relationships/hyperlink" Target="https://catalog.archives.gov/search?q=*:*&amp;f.ancestorNaIds=581096&amp;sort=naIdSort%20asc" TargetMode="External"/><Relationship Id="rId3163" Type="http://schemas.openxmlformats.org/officeDocument/2006/relationships/hyperlink" Target="https://search.ancestryinstitution.com/aird/search/db.aspx?dbid=2238" TargetMode="External"/><Relationship Id="rId3370" Type="http://schemas.openxmlformats.org/officeDocument/2006/relationships/hyperlink" Target="https://catalog.archives.gov/search?q=*:*&amp;f.ancestorNaIds=2791296&amp;sort=naIdSort%20asc" TargetMode="External"/><Relationship Id="rId291" Type="http://schemas.openxmlformats.org/officeDocument/2006/relationships/hyperlink" Target="https://search.ancestryinstitution.com/aird/search/db.aspx?dbid=3657" TargetMode="External"/><Relationship Id="rId1808" Type="http://schemas.openxmlformats.org/officeDocument/2006/relationships/hyperlink" Target="https://catalog.archives.gov/search?q=*:*&amp;f.ancestorNaIds=4529406&amp;sort=naIdSort%20asc" TargetMode="External"/><Relationship Id="rId3023" Type="http://schemas.openxmlformats.org/officeDocument/2006/relationships/hyperlink" Target="https://catalog.archives.gov/search?q=*:*&amp;f.ancestorNaIds=6037009&amp;sort=naIdSort%20asc" TargetMode="External"/><Relationship Id="rId151" Type="http://schemas.openxmlformats.org/officeDocument/2006/relationships/hyperlink" Target="https://catalog.archives.gov/search-within/2663437?availableOnline=true&amp;sort=naId%3Aasc" TargetMode="External"/><Relationship Id="rId3230" Type="http://schemas.openxmlformats.org/officeDocument/2006/relationships/hyperlink" Target="https://catalog.archives.gov/search?q=*:*&amp;f.ancestorNaIds=81449653&amp;sort=naIdSort%20asc" TargetMode="External"/><Relationship Id="rId2789" Type="http://schemas.openxmlformats.org/officeDocument/2006/relationships/hyperlink" Target="https://catalog.archives.gov/search?q=*:*&amp;f.ancestorNaIds=4515401&amp;sort=naIdSort%20asc" TargetMode="External"/><Relationship Id="rId2996" Type="http://schemas.openxmlformats.org/officeDocument/2006/relationships/hyperlink" Target="https://search.ancestryinstitution.com/aird/search/db.aspx?dbid=6059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I2644"/>
  <sheetViews>
    <sheetView tabSelected="1" workbookViewId="0">
      <pane ySplit="1" topLeftCell="A2" activePane="bottomLeft" state="frozen"/>
      <selection pane="bottomLeft" activeCell="C1" sqref="C1:C1048576"/>
    </sheetView>
  </sheetViews>
  <sheetFormatPr defaultColWidth="12.6640625" defaultRowHeight="15.75" customHeight="1"/>
  <cols>
    <col min="2" max="2" width="18.21875" customWidth="1"/>
    <col min="3" max="3" width="45.77734375" customWidth="1"/>
    <col min="4" max="4" width="54.44140625" customWidth="1"/>
    <col min="5" max="5" width="12.21875" customWidth="1"/>
    <col min="6" max="6" width="29.77734375" customWidth="1"/>
  </cols>
  <sheetData>
    <row r="1" spans="1:9" ht="15.75" customHeight="1">
      <c r="A1" s="1" t="s">
        <v>0</v>
      </c>
      <c r="B1" s="2" t="s">
        <v>1</v>
      </c>
      <c r="C1" s="3" t="s">
        <v>2</v>
      </c>
      <c r="D1" s="4" t="s">
        <v>3</v>
      </c>
      <c r="E1" s="4" t="s">
        <v>4</v>
      </c>
      <c r="F1" s="4" t="s">
        <v>5</v>
      </c>
      <c r="G1" s="4" t="s">
        <v>6</v>
      </c>
      <c r="H1" s="5" t="s">
        <v>7</v>
      </c>
      <c r="I1" s="6" t="s">
        <v>8</v>
      </c>
    </row>
    <row r="2" spans="1:9" ht="15.75" customHeight="1">
      <c r="A2" s="7">
        <v>4486713</v>
      </c>
      <c r="B2" s="8" t="s">
        <v>9</v>
      </c>
      <c r="C2" s="9" t="s">
        <v>10</v>
      </c>
      <c r="D2" s="10"/>
      <c r="E2" s="11" t="str">
        <f>HYPERLINK("https://search.ancestryinstitution.com/aird/search/db.aspx?dbid=9124","Ancestry.com")</f>
        <v>Ancestry.com</v>
      </c>
      <c r="F2" s="12"/>
      <c r="G2" s="12"/>
      <c r="H2" s="13">
        <v>85</v>
      </c>
      <c r="I2" s="14" t="s">
        <v>11</v>
      </c>
    </row>
    <row r="3" spans="1:9" ht="15.75" customHeight="1">
      <c r="A3" s="15">
        <v>3054047</v>
      </c>
      <c r="B3" s="8" t="s">
        <v>12</v>
      </c>
      <c r="C3" s="16" t="s">
        <v>13</v>
      </c>
      <c r="D3" s="12"/>
      <c r="E3" s="17" t="s">
        <v>14</v>
      </c>
      <c r="F3" s="12"/>
      <c r="G3" s="12"/>
      <c r="H3" s="13">
        <v>85</v>
      </c>
      <c r="I3" s="14" t="s">
        <v>15</v>
      </c>
    </row>
    <row r="4" spans="1:9" ht="15.75" customHeight="1">
      <c r="A4" s="15">
        <v>2922374</v>
      </c>
      <c r="B4" s="8" t="s">
        <v>16</v>
      </c>
      <c r="C4" s="9" t="s">
        <v>17</v>
      </c>
      <c r="D4" s="12"/>
      <c r="E4" s="11" t="str">
        <f>HYPERLINK("https://search.ancestryinstitution.com/aird/search/db.aspx?dbid=8842","Ancestry.com")</f>
        <v>Ancestry.com</v>
      </c>
      <c r="F4" s="12"/>
      <c r="G4" s="12"/>
      <c r="H4" s="13">
        <v>85</v>
      </c>
      <c r="I4" s="14" t="s">
        <v>18</v>
      </c>
    </row>
    <row r="5" spans="1:9" ht="15.75" customHeight="1">
      <c r="A5" s="15">
        <v>2924296</v>
      </c>
      <c r="B5" s="8" t="s">
        <v>19</v>
      </c>
      <c r="C5" s="9" t="s">
        <v>20</v>
      </c>
      <c r="D5" s="12"/>
      <c r="E5" s="11" t="str">
        <f>HYPERLINK("https://search.ancestryinstitution.com/aird/search/db.aspx?dbid=9033","Ancestry.com")</f>
        <v>Ancestry.com</v>
      </c>
      <c r="F5" s="12"/>
      <c r="G5" s="12"/>
      <c r="H5" s="13">
        <v>85</v>
      </c>
      <c r="I5" s="14" t="s">
        <v>11</v>
      </c>
    </row>
    <row r="6" spans="1:9" ht="15.75" customHeight="1">
      <c r="A6" s="15">
        <v>2945950</v>
      </c>
      <c r="B6" s="8" t="s">
        <v>21</v>
      </c>
      <c r="C6" s="9" t="s">
        <v>22</v>
      </c>
      <c r="D6" s="12"/>
      <c r="E6" s="18" t="s">
        <v>14</v>
      </c>
      <c r="F6" s="12"/>
      <c r="G6" s="12"/>
      <c r="H6" s="13">
        <v>85</v>
      </c>
      <c r="I6" s="14" t="s">
        <v>11</v>
      </c>
    </row>
    <row r="7" spans="1:9" ht="15.75" customHeight="1">
      <c r="A7" s="15">
        <v>2945976</v>
      </c>
      <c r="B7" s="8" t="s">
        <v>23</v>
      </c>
      <c r="C7" s="9" t="s">
        <v>24</v>
      </c>
      <c r="D7" s="12"/>
      <c r="E7" s="18" t="s">
        <v>14</v>
      </c>
      <c r="F7" s="12"/>
      <c r="G7" s="12"/>
      <c r="H7" s="13">
        <v>85</v>
      </c>
      <c r="I7" s="14" t="s">
        <v>11</v>
      </c>
    </row>
    <row r="8" spans="1:9" ht="15.75" customHeight="1">
      <c r="A8" s="15">
        <v>2945942</v>
      </c>
      <c r="B8" s="8" t="s">
        <v>25</v>
      </c>
      <c r="C8" s="9" t="s">
        <v>26</v>
      </c>
      <c r="D8" s="12"/>
      <c r="E8" s="17" t="s">
        <v>14</v>
      </c>
      <c r="F8" s="12"/>
      <c r="G8" s="12"/>
      <c r="H8" s="13">
        <v>85</v>
      </c>
      <c r="I8" s="14" t="s">
        <v>11</v>
      </c>
    </row>
    <row r="9" spans="1:9" ht="15.75" customHeight="1">
      <c r="A9" s="15">
        <v>2838669</v>
      </c>
      <c r="B9" s="8" t="s">
        <v>27</v>
      </c>
      <c r="C9" s="9" t="s">
        <v>28</v>
      </c>
      <c r="D9" s="12"/>
      <c r="E9" s="17" t="s">
        <v>14</v>
      </c>
      <c r="F9" s="12"/>
      <c r="G9" s="12"/>
      <c r="H9" s="13">
        <v>85</v>
      </c>
      <c r="I9" s="14" t="s">
        <v>11</v>
      </c>
    </row>
    <row r="10" spans="1:9" ht="15.75" customHeight="1">
      <c r="A10" s="15">
        <v>2723258</v>
      </c>
      <c r="B10" s="8" t="s">
        <v>29</v>
      </c>
      <c r="C10" s="9" t="s">
        <v>30</v>
      </c>
      <c r="D10" s="12"/>
      <c r="E10" s="17" t="s">
        <v>14</v>
      </c>
      <c r="F10" s="12"/>
      <c r="G10" s="12"/>
      <c r="H10" s="13">
        <v>85</v>
      </c>
      <c r="I10" s="14" t="s">
        <v>11</v>
      </c>
    </row>
    <row r="11" spans="1:9" ht="15.75" customHeight="1">
      <c r="A11" s="15">
        <v>2723253</v>
      </c>
      <c r="B11" s="8" t="s">
        <v>31</v>
      </c>
      <c r="C11" s="9" t="s">
        <v>32</v>
      </c>
      <c r="D11" s="12"/>
      <c r="E11" s="17" t="s">
        <v>14</v>
      </c>
      <c r="F11" s="12"/>
      <c r="G11" s="12"/>
      <c r="H11" s="13">
        <v>85</v>
      </c>
      <c r="I11" s="14" t="s">
        <v>11</v>
      </c>
    </row>
    <row r="12" spans="1:9" ht="15.75" customHeight="1">
      <c r="A12" s="15">
        <v>2733312</v>
      </c>
      <c r="B12" s="8" t="s">
        <v>33</v>
      </c>
      <c r="C12" s="9" t="s">
        <v>34</v>
      </c>
      <c r="D12" s="12"/>
      <c r="E12" s="17" t="s">
        <v>14</v>
      </c>
      <c r="F12" s="12"/>
      <c r="G12" s="12"/>
      <c r="H12" s="13">
        <v>85</v>
      </c>
      <c r="I12" s="14" t="s">
        <v>18</v>
      </c>
    </row>
    <row r="13" spans="1:9" ht="15.75" customHeight="1">
      <c r="A13" s="15">
        <v>2733416</v>
      </c>
      <c r="B13" s="8" t="s">
        <v>35</v>
      </c>
      <c r="C13" s="9" t="s">
        <v>36</v>
      </c>
      <c r="D13" s="12"/>
      <c r="E13" s="17" t="s">
        <v>14</v>
      </c>
      <c r="F13" s="12"/>
      <c r="G13" s="12"/>
      <c r="H13" s="13">
        <v>85</v>
      </c>
      <c r="I13" s="14" t="s">
        <v>11</v>
      </c>
    </row>
    <row r="14" spans="1:9" ht="15.75" customHeight="1">
      <c r="A14" s="15">
        <v>2857355</v>
      </c>
      <c r="B14" s="8" t="s">
        <v>37</v>
      </c>
      <c r="C14" s="9" t="s">
        <v>38</v>
      </c>
      <c r="D14" s="12"/>
      <c r="E14" s="17" t="s">
        <v>14</v>
      </c>
      <c r="F14" s="12"/>
      <c r="G14" s="12"/>
      <c r="H14" s="13">
        <v>85</v>
      </c>
      <c r="I14" s="14" t="s">
        <v>11</v>
      </c>
    </row>
    <row r="15" spans="1:9" ht="15.75" customHeight="1">
      <c r="A15" s="15">
        <v>3020748</v>
      </c>
      <c r="B15" s="8" t="s">
        <v>39</v>
      </c>
      <c r="C15" s="9" t="s">
        <v>40</v>
      </c>
      <c r="D15" s="12"/>
      <c r="E15" s="17" t="s">
        <v>14</v>
      </c>
      <c r="F15" s="12"/>
      <c r="G15" s="12"/>
      <c r="H15" s="13">
        <v>85</v>
      </c>
      <c r="I15" s="14" t="s">
        <v>11</v>
      </c>
    </row>
    <row r="16" spans="1:9" ht="15.75" customHeight="1">
      <c r="A16" s="15">
        <v>2897168</v>
      </c>
      <c r="B16" s="8" t="s">
        <v>41</v>
      </c>
      <c r="C16" s="9" t="s">
        <v>42</v>
      </c>
      <c r="D16" s="12"/>
      <c r="E16" s="19" t="s">
        <v>14</v>
      </c>
      <c r="F16" s="11" t="s">
        <v>43</v>
      </c>
      <c r="G16" s="12"/>
      <c r="H16" s="13">
        <v>85</v>
      </c>
      <c r="I16" s="14" t="s">
        <v>11</v>
      </c>
    </row>
    <row r="17" spans="1:9" ht="15.75" customHeight="1">
      <c r="A17" s="15">
        <v>3053956</v>
      </c>
      <c r="B17" s="8" t="s">
        <v>44</v>
      </c>
      <c r="C17" s="9" t="s">
        <v>45</v>
      </c>
      <c r="D17" s="12"/>
      <c r="E17" s="17" t="s">
        <v>14</v>
      </c>
      <c r="F17" s="12"/>
      <c r="G17" s="12"/>
      <c r="H17" s="13">
        <v>85</v>
      </c>
      <c r="I17" s="14" t="s">
        <v>18</v>
      </c>
    </row>
    <row r="18" spans="1:9" ht="15.75" customHeight="1">
      <c r="A18" s="15">
        <v>2945979</v>
      </c>
      <c r="B18" s="8" t="s">
        <v>46</v>
      </c>
      <c r="C18" s="9" t="s">
        <v>47</v>
      </c>
      <c r="D18" s="12"/>
      <c r="E18" s="17" t="s">
        <v>14</v>
      </c>
      <c r="F18" s="12"/>
      <c r="G18" s="12"/>
      <c r="H18" s="13">
        <v>85</v>
      </c>
      <c r="I18" s="14" t="s">
        <v>11</v>
      </c>
    </row>
    <row r="19" spans="1:9" ht="15.75" customHeight="1">
      <c r="A19" s="15">
        <v>4477246</v>
      </c>
      <c r="B19" s="8" t="s">
        <v>48</v>
      </c>
      <c r="C19" s="9" t="s">
        <v>49</v>
      </c>
      <c r="D19" s="12"/>
      <c r="E19" s="12"/>
      <c r="F19" s="11" t="s">
        <v>43</v>
      </c>
      <c r="G19" s="12"/>
      <c r="H19" s="13">
        <v>85</v>
      </c>
      <c r="I19" s="14" t="s">
        <v>11</v>
      </c>
    </row>
    <row r="20" spans="1:9" ht="15.75" customHeight="1">
      <c r="A20" s="15">
        <v>2843010</v>
      </c>
      <c r="B20" s="8" t="s">
        <v>50</v>
      </c>
      <c r="C20" s="9" t="s">
        <v>51</v>
      </c>
      <c r="D20" s="12"/>
      <c r="E20" s="17" t="s">
        <v>14</v>
      </c>
      <c r="F20" s="12"/>
      <c r="G20" s="12"/>
      <c r="H20" s="13">
        <v>85</v>
      </c>
      <c r="I20" s="14" t="s">
        <v>11</v>
      </c>
    </row>
    <row r="21" spans="1:9" ht="15.75" customHeight="1">
      <c r="A21" s="15">
        <v>2945502</v>
      </c>
      <c r="B21" s="8" t="s">
        <v>52</v>
      </c>
      <c r="C21" s="9" t="s">
        <v>53</v>
      </c>
      <c r="D21" s="12"/>
      <c r="E21" s="17" t="s">
        <v>14</v>
      </c>
      <c r="F21" s="12"/>
      <c r="G21" s="12"/>
      <c r="H21" s="20">
        <v>85</v>
      </c>
      <c r="I21" s="14" t="s">
        <v>11</v>
      </c>
    </row>
    <row r="22" spans="1:9" ht="15.75" customHeight="1">
      <c r="A22" s="15">
        <v>3335538</v>
      </c>
      <c r="B22" s="8" t="s">
        <v>54</v>
      </c>
      <c r="C22" s="9" t="s">
        <v>55</v>
      </c>
      <c r="D22" s="12"/>
      <c r="E22" s="11" t="str">
        <f>HYPERLINK("https://search.ancestryinstitution.com/aird/search/db.aspx?dbid=60882","Ancestry.com")</f>
        <v>Ancestry.com</v>
      </c>
      <c r="F22" s="12"/>
      <c r="G22" s="12"/>
      <c r="H22" s="13">
        <v>85</v>
      </c>
      <c r="I22" s="14" t="s">
        <v>11</v>
      </c>
    </row>
    <row r="23" spans="1:9" ht="15.75" customHeight="1">
      <c r="A23" s="15">
        <v>2767260</v>
      </c>
      <c r="B23" s="8" t="s">
        <v>56</v>
      </c>
      <c r="C23" s="9" t="s">
        <v>57</v>
      </c>
      <c r="D23" s="12"/>
      <c r="E23" s="17" t="s">
        <v>14</v>
      </c>
      <c r="F23" s="12"/>
      <c r="G23" s="12"/>
      <c r="H23" s="13">
        <v>85</v>
      </c>
      <c r="I23" s="14" t="s">
        <v>11</v>
      </c>
    </row>
    <row r="24" spans="1:9" ht="15.75" customHeight="1">
      <c r="A24" s="15">
        <v>2769070</v>
      </c>
      <c r="B24" s="8" t="s">
        <v>58</v>
      </c>
      <c r="C24" s="9" t="s">
        <v>59</v>
      </c>
      <c r="D24" s="12"/>
      <c r="E24" s="17" t="s">
        <v>14</v>
      </c>
      <c r="F24" s="12"/>
      <c r="G24" s="12"/>
      <c r="H24" s="13">
        <v>85</v>
      </c>
      <c r="I24" s="14" t="s">
        <v>11</v>
      </c>
    </row>
    <row r="25" spans="1:9" ht="15.75" customHeight="1">
      <c r="A25" s="15">
        <v>2770033</v>
      </c>
      <c r="B25" s="8" t="s">
        <v>60</v>
      </c>
      <c r="C25" s="9" t="s">
        <v>61</v>
      </c>
      <c r="D25" s="12"/>
      <c r="E25" s="17" t="s">
        <v>14</v>
      </c>
      <c r="F25" s="12"/>
      <c r="G25" s="12"/>
      <c r="H25" s="13">
        <v>85</v>
      </c>
      <c r="I25" s="14" t="s">
        <v>11</v>
      </c>
    </row>
    <row r="26" spans="1:9" ht="15.75" customHeight="1">
      <c r="A26" s="15">
        <v>2645658</v>
      </c>
      <c r="B26" s="8" t="s">
        <v>62</v>
      </c>
      <c r="C26" s="9" t="s">
        <v>63</v>
      </c>
      <c r="D26" s="12"/>
      <c r="E26" s="17" t="s">
        <v>14</v>
      </c>
      <c r="F26" s="12"/>
      <c r="G26" s="12"/>
      <c r="H26" s="13">
        <v>85</v>
      </c>
      <c r="I26" s="14" t="s">
        <v>18</v>
      </c>
    </row>
    <row r="27" spans="1:9" ht="15.75" customHeight="1">
      <c r="A27" s="15">
        <v>2580123</v>
      </c>
      <c r="B27" s="8" t="s">
        <v>64</v>
      </c>
      <c r="C27" s="9" t="s">
        <v>65</v>
      </c>
      <c r="D27" s="12"/>
      <c r="E27" s="17" t="s">
        <v>14</v>
      </c>
      <c r="F27" s="12"/>
      <c r="G27" s="12"/>
      <c r="H27" s="13">
        <v>85</v>
      </c>
      <c r="I27" s="14" t="s">
        <v>11</v>
      </c>
    </row>
    <row r="28" spans="1:9" ht="15.75" customHeight="1">
      <c r="A28" s="15">
        <v>2837842</v>
      </c>
      <c r="B28" s="8" t="s">
        <v>66</v>
      </c>
      <c r="C28" s="9" t="s">
        <v>67</v>
      </c>
      <c r="E28" s="18" t="s">
        <v>14</v>
      </c>
      <c r="F28" s="12"/>
      <c r="G28" s="12"/>
      <c r="H28" s="13">
        <v>85</v>
      </c>
      <c r="I28" s="14" t="s">
        <v>11</v>
      </c>
    </row>
    <row r="29" spans="1:9" ht="15.75" customHeight="1">
      <c r="A29" s="15">
        <v>2838406</v>
      </c>
      <c r="B29" s="8" t="s">
        <v>68</v>
      </c>
      <c r="C29" s="9" t="s">
        <v>69</v>
      </c>
      <c r="D29" s="12"/>
      <c r="E29" s="18" t="s">
        <v>14</v>
      </c>
      <c r="F29" s="12"/>
      <c r="G29" s="12"/>
      <c r="H29" s="13">
        <v>85</v>
      </c>
      <c r="I29" s="14" t="s">
        <v>11</v>
      </c>
    </row>
    <row r="30" spans="1:9" ht="15.75" customHeight="1">
      <c r="A30" s="15">
        <v>2679284</v>
      </c>
      <c r="B30" s="8" t="s">
        <v>70</v>
      </c>
      <c r="C30" s="9" t="s">
        <v>71</v>
      </c>
      <c r="D30" s="12"/>
      <c r="E30" s="17" t="s">
        <v>14</v>
      </c>
      <c r="F30" s="12"/>
      <c r="G30" s="12"/>
      <c r="H30" s="13">
        <v>85</v>
      </c>
      <c r="I30" s="14" t="s">
        <v>18</v>
      </c>
    </row>
    <row r="31" spans="1:9" ht="15.75" customHeight="1">
      <c r="A31" s="15">
        <v>2825804</v>
      </c>
      <c r="B31" s="8" t="s">
        <v>72</v>
      </c>
      <c r="C31" s="9" t="s">
        <v>73</v>
      </c>
      <c r="D31" s="12"/>
      <c r="E31" s="17" t="s">
        <v>14</v>
      </c>
      <c r="F31" s="12"/>
      <c r="G31" s="12"/>
      <c r="H31" s="13">
        <v>85</v>
      </c>
      <c r="I31" s="14" t="s">
        <v>11</v>
      </c>
    </row>
    <row r="32" spans="1:9" ht="15.75" customHeight="1">
      <c r="A32" s="15">
        <v>2825824</v>
      </c>
      <c r="B32" s="8" t="s">
        <v>74</v>
      </c>
      <c r="C32" s="9" t="s">
        <v>75</v>
      </c>
      <c r="D32" s="12"/>
      <c r="E32" s="17" t="s">
        <v>14</v>
      </c>
      <c r="F32" s="12"/>
      <c r="G32" s="12"/>
      <c r="H32" s="13">
        <v>85</v>
      </c>
      <c r="I32" s="14" t="s">
        <v>15</v>
      </c>
    </row>
    <row r="33" spans="1:9" ht="15.75" customHeight="1">
      <c r="A33" s="15">
        <v>2827592</v>
      </c>
      <c r="B33" s="8" t="s">
        <v>76</v>
      </c>
      <c r="C33" s="9" t="s">
        <v>77</v>
      </c>
      <c r="D33" s="12"/>
      <c r="E33" s="17" t="s">
        <v>14</v>
      </c>
      <c r="F33" s="12"/>
      <c r="G33" s="12"/>
      <c r="H33" s="13">
        <v>85</v>
      </c>
      <c r="I33" s="14" t="s">
        <v>11</v>
      </c>
    </row>
    <row r="34" spans="1:9" ht="15.75" customHeight="1">
      <c r="A34" s="15">
        <v>2827591</v>
      </c>
      <c r="B34" s="8" t="s">
        <v>78</v>
      </c>
      <c r="C34" s="9" t="s">
        <v>79</v>
      </c>
      <c r="D34" s="12"/>
      <c r="E34" s="17" t="s">
        <v>14</v>
      </c>
      <c r="F34" s="12"/>
      <c r="G34" s="12"/>
      <c r="H34" s="13">
        <v>85</v>
      </c>
      <c r="I34" s="14" t="s">
        <v>11</v>
      </c>
    </row>
    <row r="35" spans="1:9" ht="15.75" customHeight="1">
      <c r="A35" s="15">
        <v>2839306</v>
      </c>
      <c r="B35" s="8" t="s">
        <v>80</v>
      </c>
      <c r="C35" s="9" t="s">
        <v>81</v>
      </c>
      <c r="D35" s="12"/>
      <c r="E35" s="17" t="s">
        <v>14</v>
      </c>
      <c r="F35" s="12"/>
      <c r="G35" s="12"/>
      <c r="H35" s="13">
        <v>85</v>
      </c>
      <c r="I35" s="14" t="s">
        <v>11</v>
      </c>
    </row>
    <row r="36" spans="1:9" ht="15.75" customHeight="1">
      <c r="A36" s="15">
        <v>2839363</v>
      </c>
      <c r="B36" s="8" t="s">
        <v>82</v>
      </c>
      <c r="C36" s="9" t="s">
        <v>83</v>
      </c>
      <c r="D36" s="12"/>
      <c r="E36" s="17" t="s">
        <v>14</v>
      </c>
      <c r="F36" s="12"/>
      <c r="G36" s="12"/>
      <c r="H36" s="13">
        <v>85</v>
      </c>
      <c r="I36" s="14" t="s">
        <v>11</v>
      </c>
    </row>
    <row r="37" spans="1:9" ht="15.75" customHeight="1">
      <c r="A37" s="15">
        <v>2681589</v>
      </c>
      <c r="B37" s="8" t="s">
        <v>84</v>
      </c>
      <c r="C37" s="9" t="s">
        <v>85</v>
      </c>
      <c r="D37" s="12"/>
      <c r="E37" s="17" t="s">
        <v>14</v>
      </c>
      <c r="F37" s="12"/>
      <c r="G37" s="12"/>
      <c r="H37" s="13">
        <v>85</v>
      </c>
      <c r="I37" s="14" t="s">
        <v>11</v>
      </c>
    </row>
    <row r="38" spans="1:9" ht="46.8">
      <c r="A38" s="15">
        <v>2839401</v>
      </c>
      <c r="B38" s="8" t="s">
        <v>86</v>
      </c>
      <c r="C38" s="9" t="s">
        <v>87</v>
      </c>
      <c r="D38" s="12"/>
      <c r="E38" s="17" t="s">
        <v>14</v>
      </c>
      <c r="F38" s="12"/>
      <c r="G38" s="12"/>
      <c r="H38" s="13">
        <v>85</v>
      </c>
      <c r="I38" s="14" t="s">
        <v>11</v>
      </c>
    </row>
    <row r="39" spans="1:9" ht="46.8">
      <c r="A39" s="15">
        <v>2839036</v>
      </c>
      <c r="B39" s="8" t="s">
        <v>88</v>
      </c>
      <c r="C39" s="9" t="s">
        <v>89</v>
      </c>
      <c r="D39" s="12"/>
      <c r="E39" s="17" t="s">
        <v>14</v>
      </c>
      <c r="F39" s="12"/>
      <c r="G39" s="12"/>
      <c r="H39" s="13">
        <v>85</v>
      </c>
      <c r="I39" s="14" t="s">
        <v>11</v>
      </c>
    </row>
    <row r="40" spans="1:9" ht="31.2">
      <c r="A40" s="15">
        <v>2838460</v>
      </c>
      <c r="B40" s="8" t="s">
        <v>90</v>
      </c>
      <c r="C40" s="9" t="s">
        <v>91</v>
      </c>
      <c r="D40" s="12"/>
      <c r="E40" s="18" t="s">
        <v>14</v>
      </c>
      <c r="F40" s="12"/>
      <c r="G40" s="12"/>
      <c r="H40" s="13">
        <v>85</v>
      </c>
      <c r="I40" s="14" t="s">
        <v>11</v>
      </c>
    </row>
    <row r="41" spans="1:9" ht="31.2">
      <c r="A41" s="15">
        <v>2838468</v>
      </c>
      <c r="B41" s="8" t="s">
        <v>92</v>
      </c>
      <c r="C41" s="9" t="s">
        <v>93</v>
      </c>
      <c r="D41" s="12"/>
      <c r="E41" s="18" t="s">
        <v>14</v>
      </c>
      <c r="F41" s="12"/>
      <c r="G41" s="12"/>
      <c r="H41" s="13">
        <v>85</v>
      </c>
      <c r="I41" s="14" t="s">
        <v>11</v>
      </c>
    </row>
    <row r="42" spans="1:9" ht="46.8">
      <c r="A42" s="15">
        <v>2838489</v>
      </c>
      <c r="B42" s="8" t="s">
        <v>94</v>
      </c>
      <c r="C42" s="9" t="s">
        <v>95</v>
      </c>
      <c r="D42" s="12"/>
      <c r="E42" s="18" t="s">
        <v>14</v>
      </c>
      <c r="F42" s="12"/>
      <c r="G42" s="12"/>
      <c r="H42" s="13">
        <v>85</v>
      </c>
      <c r="I42" s="14" t="s">
        <v>11</v>
      </c>
    </row>
    <row r="43" spans="1:9" ht="46.8">
      <c r="A43" s="15">
        <v>2790643</v>
      </c>
      <c r="B43" s="8" t="s">
        <v>96</v>
      </c>
      <c r="C43" s="9" t="s">
        <v>97</v>
      </c>
      <c r="D43" s="12"/>
      <c r="E43" s="17" t="s">
        <v>14</v>
      </c>
      <c r="F43" s="12"/>
      <c r="G43" s="12"/>
      <c r="H43" s="13">
        <v>85</v>
      </c>
      <c r="I43" s="14" t="s">
        <v>18</v>
      </c>
    </row>
    <row r="44" spans="1:9" ht="46.8">
      <c r="A44" s="15">
        <v>2842721</v>
      </c>
      <c r="B44" s="8" t="s">
        <v>98</v>
      </c>
      <c r="C44" s="9" t="s">
        <v>99</v>
      </c>
      <c r="D44" s="12"/>
      <c r="E44" s="17" t="s">
        <v>14</v>
      </c>
      <c r="F44" s="12"/>
      <c r="G44" s="12"/>
      <c r="H44" s="13">
        <v>85</v>
      </c>
      <c r="I44" s="14" t="s">
        <v>11</v>
      </c>
    </row>
    <row r="45" spans="1:9" ht="31.2">
      <c r="A45" s="15">
        <v>2699819</v>
      </c>
      <c r="B45" s="8" t="s">
        <v>100</v>
      </c>
      <c r="C45" s="9" t="s">
        <v>101</v>
      </c>
      <c r="D45" s="12"/>
      <c r="E45" s="17" t="s">
        <v>14</v>
      </c>
      <c r="F45" s="12"/>
      <c r="G45" s="12"/>
      <c r="H45" s="13">
        <v>85</v>
      </c>
      <c r="I45" s="14" t="s">
        <v>11</v>
      </c>
    </row>
    <row r="46" spans="1:9" ht="31.2">
      <c r="A46" s="15">
        <v>2839068</v>
      </c>
      <c r="B46" s="8" t="s">
        <v>102</v>
      </c>
      <c r="C46" s="9" t="s">
        <v>103</v>
      </c>
      <c r="D46" s="12"/>
      <c r="E46" s="17" t="s">
        <v>14</v>
      </c>
      <c r="F46" s="12"/>
      <c r="G46" s="12"/>
      <c r="H46" s="13">
        <v>85</v>
      </c>
      <c r="I46" s="14" t="s">
        <v>11</v>
      </c>
    </row>
    <row r="47" spans="1:9" ht="31.2">
      <c r="A47" s="15">
        <v>2839116</v>
      </c>
      <c r="B47" s="8" t="s">
        <v>104</v>
      </c>
      <c r="C47" s="9" t="s">
        <v>105</v>
      </c>
      <c r="D47" s="12"/>
      <c r="E47" s="17" t="s">
        <v>14</v>
      </c>
      <c r="F47" s="12"/>
      <c r="G47" s="12"/>
      <c r="H47" s="13">
        <v>85</v>
      </c>
      <c r="I47" s="14" t="s">
        <v>18</v>
      </c>
    </row>
    <row r="48" spans="1:9" ht="31.2">
      <c r="A48" s="15">
        <v>2843007</v>
      </c>
      <c r="B48" s="8" t="s">
        <v>106</v>
      </c>
      <c r="C48" s="9" t="s">
        <v>107</v>
      </c>
      <c r="D48" s="12"/>
      <c r="E48" s="17" t="s">
        <v>14</v>
      </c>
      <c r="F48" s="12"/>
      <c r="G48" s="12"/>
      <c r="H48" s="13">
        <v>85</v>
      </c>
      <c r="I48" s="14" t="s">
        <v>11</v>
      </c>
    </row>
    <row r="49" spans="1:9" ht="46.8">
      <c r="A49" s="15">
        <v>2843035</v>
      </c>
      <c r="B49" s="8" t="s">
        <v>108</v>
      </c>
      <c r="C49" s="9" t="s">
        <v>109</v>
      </c>
      <c r="D49" s="12"/>
      <c r="E49" s="18" t="s">
        <v>14</v>
      </c>
      <c r="F49" s="12"/>
      <c r="G49" s="12"/>
      <c r="H49" s="13">
        <v>85</v>
      </c>
      <c r="I49" s="14" t="s">
        <v>18</v>
      </c>
    </row>
    <row r="50" spans="1:9" ht="46.8">
      <c r="A50" s="15">
        <v>2843069</v>
      </c>
      <c r="B50" s="8" t="s">
        <v>110</v>
      </c>
      <c r="C50" s="9" t="s">
        <v>111</v>
      </c>
      <c r="D50" s="12"/>
      <c r="E50" s="11" t="str">
        <f>HYPERLINK("https://search.ancestryinstitution.com/aird/search/db.aspx?dbid=60882","Ancestry.com")</f>
        <v>Ancestry.com</v>
      </c>
      <c r="F50" s="12"/>
      <c r="G50" s="12"/>
      <c r="H50" s="13">
        <v>85</v>
      </c>
      <c r="I50" s="14" t="s">
        <v>18</v>
      </c>
    </row>
    <row r="51" spans="1:9" ht="46.8">
      <c r="A51" s="15">
        <v>2843221</v>
      </c>
      <c r="B51" s="8" t="s">
        <v>112</v>
      </c>
      <c r="C51" s="9" t="s">
        <v>113</v>
      </c>
      <c r="D51" s="12"/>
      <c r="E51" s="17" t="s">
        <v>14</v>
      </c>
      <c r="F51" s="12"/>
      <c r="G51" s="12"/>
      <c r="H51" s="13">
        <v>85</v>
      </c>
      <c r="I51" s="14" t="s">
        <v>11</v>
      </c>
    </row>
    <row r="52" spans="1:9" ht="46.8">
      <c r="A52" s="15">
        <v>2843158</v>
      </c>
      <c r="B52" s="8" t="s">
        <v>114</v>
      </c>
      <c r="C52" s="9" t="s">
        <v>115</v>
      </c>
      <c r="D52" s="12"/>
      <c r="E52" s="17" t="s">
        <v>14</v>
      </c>
      <c r="F52" s="12"/>
      <c r="G52" s="12"/>
      <c r="H52" s="13">
        <v>85</v>
      </c>
      <c r="I52" s="14" t="s">
        <v>11</v>
      </c>
    </row>
    <row r="53" spans="1:9" ht="46.8">
      <c r="A53" s="7">
        <v>2953525</v>
      </c>
      <c r="B53" s="21" t="s">
        <v>116</v>
      </c>
      <c r="C53" s="9" t="s">
        <v>117</v>
      </c>
      <c r="D53" s="12"/>
      <c r="E53" s="17" t="s">
        <v>14</v>
      </c>
      <c r="F53" s="12"/>
      <c r="G53" s="12"/>
      <c r="H53" s="20">
        <v>85</v>
      </c>
      <c r="I53" s="14" t="s">
        <v>11</v>
      </c>
    </row>
    <row r="54" spans="1:9" ht="46.8">
      <c r="A54" s="15">
        <v>2953553</v>
      </c>
      <c r="B54" s="8" t="s">
        <v>118</v>
      </c>
      <c r="C54" s="9" t="s">
        <v>119</v>
      </c>
      <c r="D54" s="12"/>
      <c r="E54" s="11" t="str">
        <f>HYPERLINK("https://search.ancestryinstitution.com/aird/search/db.aspx?dbid=8842","Ancestry.com")</f>
        <v>Ancestry.com</v>
      </c>
      <c r="F54" s="12"/>
      <c r="G54" s="12"/>
      <c r="H54" s="13">
        <v>85</v>
      </c>
      <c r="I54" s="14" t="s">
        <v>18</v>
      </c>
    </row>
    <row r="55" spans="1:9" ht="46.8">
      <c r="A55" s="15">
        <v>2979354</v>
      </c>
      <c r="B55" s="8" t="s">
        <v>120</v>
      </c>
      <c r="C55" s="9" t="s">
        <v>121</v>
      </c>
      <c r="D55" s="12"/>
      <c r="E55" s="17" t="s">
        <v>14</v>
      </c>
      <c r="F55" s="12"/>
      <c r="G55" s="12"/>
      <c r="H55" s="13">
        <v>85</v>
      </c>
      <c r="I55" s="14" t="s">
        <v>18</v>
      </c>
    </row>
    <row r="56" spans="1:9" ht="46.8">
      <c r="A56" s="15">
        <v>2990031</v>
      </c>
      <c r="B56" s="8" t="s">
        <v>122</v>
      </c>
      <c r="C56" s="9" t="s">
        <v>123</v>
      </c>
      <c r="D56" s="12"/>
      <c r="E56" s="11" t="str">
        <f t="shared" ref="E56:E57" si="0">HYPERLINK("https://search.ancestryinstitution.com/aird/search/db.aspx?dbid=8842","Ancestry.com")</f>
        <v>Ancestry.com</v>
      </c>
      <c r="F56" s="12"/>
      <c r="G56" s="12"/>
      <c r="H56" s="13">
        <v>85</v>
      </c>
      <c r="I56" s="14" t="s">
        <v>18</v>
      </c>
    </row>
    <row r="57" spans="1:9" ht="46.8">
      <c r="A57" s="15">
        <v>2990039</v>
      </c>
      <c r="B57" s="8" t="s">
        <v>124</v>
      </c>
      <c r="C57" s="9" t="s">
        <v>125</v>
      </c>
      <c r="D57" s="12"/>
      <c r="E57" s="11" t="str">
        <f t="shared" si="0"/>
        <v>Ancestry.com</v>
      </c>
      <c r="F57" s="12"/>
      <c r="G57" s="12"/>
      <c r="H57" s="13">
        <v>85</v>
      </c>
      <c r="I57" s="14" t="s">
        <v>18</v>
      </c>
    </row>
    <row r="58" spans="1:9" ht="31.2">
      <c r="A58" s="15">
        <v>2699825</v>
      </c>
      <c r="B58" s="8" t="s">
        <v>126</v>
      </c>
      <c r="C58" s="9" t="s">
        <v>127</v>
      </c>
      <c r="D58" s="12"/>
      <c r="E58" s="17" t="s">
        <v>14</v>
      </c>
      <c r="F58" s="12"/>
      <c r="G58" s="12"/>
      <c r="H58" s="13">
        <v>85</v>
      </c>
      <c r="I58" s="14" t="s">
        <v>18</v>
      </c>
    </row>
    <row r="59" spans="1:9" ht="46.8">
      <c r="A59" s="15">
        <v>2825739</v>
      </c>
      <c r="B59" s="8" t="s">
        <v>128</v>
      </c>
      <c r="C59" s="9" t="s">
        <v>129</v>
      </c>
      <c r="D59" s="12"/>
      <c r="E59" s="18" t="s">
        <v>14</v>
      </c>
      <c r="F59" s="12"/>
      <c r="G59" s="12"/>
      <c r="H59" s="13">
        <v>85</v>
      </c>
      <c r="I59" s="14" t="s">
        <v>11</v>
      </c>
    </row>
    <row r="60" spans="1:9" ht="46.8">
      <c r="A60" s="15">
        <v>2825770</v>
      </c>
      <c r="B60" s="8" t="s">
        <v>130</v>
      </c>
      <c r="C60" s="9" t="s">
        <v>131</v>
      </c>
      <c r="D60" s="12"/>
      <c r="E60" s="11" t="str">
        <f t="shared" ref="E60:E61" si="1">HYPERLINK("https://search.ancestryinstitution.com/aird/search/db.aspx?dbid=60882","Ancestry.com")</f>
        <v>Ancestry.com</v>
      </c>
      <c r="F60" s="12"/>
      <c r="G60" s="12"/>
      <c r="H60" s="13">
        <v>85</v>
      </c>
      <c r="I60" s="14" t="s">
        <v>18</v>
      </c>
    </row>
    <row r="61" spans="1:9" ht="46.8">
      <c r="A61" s="15">
        <v>2843043</v>
      </c>
      <c r="B61" s="8" t="s">
        <v>132</v>
      </c>
      <c r="C61" s="9" t="s">
        <v>133</v>
      </c>
      <c r="D61" s="12"/>
      <c r="E61" s="11" t="str">
        <f t="shared" si="1"/>
        <v>Ancestry.com</v>
      </c>
      <c r="F61" s="12"/>
      <c r="G61" s="12"/>
      <c r="H61" s="13">
        <v>85</v>
      </c>
      <c r="I61" s="14" t="s">
        <v>18</v>
      </c>
    </row>
    <row r="62" spans="1:9" ht="31.2">
      <c r="A62" s="15">
        <v>2945982</v>
      </c>
      <c r="B62" s="8" t="s">
        <v>134</v>
      </c>
      <c r="C62" s="9" t="s">
        <v>135</v>
      </c>
      <c r="D62" s="22"/>
      <c r="E62" s="17" t="s">
        <v>14</v>
      </c>
      <c r="F62" s="12"/>
      <c r="G62" s="12"/>
      <c r="H62" s="13">
        <v>85</v>
      </c>
      <c r="I62" s="14" t="s">
        <v>18</v>
      </c>
    </row>
    <row r="63" spans="1:9" ht="46.8">
      <c r="A63" s="15">
        <v>2775157</v>
      </c>
      <c r="B63" s="8" t="s">
        <v>136</v>
      </c>
      <c r="C63" s="9" t="s">
        <v>137</v>
      </c>
      <c r="D63" s="12"/>
      <c r="E63" s="17" t="s">
        <v>14</v>
      </c>
      <c r="F63" s="12"/>
      <c r="G63" s="12"/>
      <c r="H63" s="13">
        <v>85</v>
      </c>
      <c r="I63" s="14" t="s">
        <v>18</v>
      </c>
    </row>
    <row r="64" spans="1:9" ht="46.8">
      <c r="A64" s="15">
        <v>2802334</v>
      </c>
      <c r="B64" s="8" t="s">
        <v>138</v>
      </c>
      <c r="C64" s="9" t="s">
        <v>139</v>
      </c>
      <c r="D64" s="12"/>
      <c r="E64" s="17" t="s">
        <v>14</v>
      </c>
      <c r="F64" s="12"/>
      <c r="G64" s="12"/>
      <c r="H64" s="13">
        <v>85</v>
      </c>
      <c r="I64" s="14" t="s">
        <v>11</v>
      </c>
    </row>
    <row r="65" spans="1:9" ht="31.2">
      <c r="A65" s="15">
        <v>2838411</v>
      </c>
      <c r="B65" s="8" t="s">
        <v>140</v>
      </c>
      <c r="C65" s="9" t="s">
        <v>141</v>
      </c>
      <c r="D65" s="12"/>
      <c r="E65" s="18" t="s">
        <v>14</v>
      </c>
      <c r="F65" s="12"/>
      <c r="G65" s="12"/>
      <c r="H65" s="13">
        <v>85</v>
      </c>
      <c r="I65" s="14" t="s">
        <v>11</v>
      </c>
    </row>
    <row r="66" spans="1:9" ht="46.8">
      <c r="A66" s="15">
        <v>2838437</v>
      </c>
      <c r="B66" s="8" t="s">
        <v>142</v>
      </c>
      <c r="C66" s="9" t="s">
        <v>143</v>
      </c>
      <c r="D66" s="12"/>
      <c r="E66" s="18" t="s">
        <v>14</v>
      </c>
      <c r="F66" s="12"/>
      <c r="G66" s="12"/>
      <c r="H66" s="13">
        <v>85</v>
      </c>
      <c r="I66" s="14" t="s">
        <v>11</v>
      </c>
    </row>
    <row r="67" spans="1:9" ht="46.8">
      <c r="A67" s="15">
        <v>2839458</v>
      </c>
      <c r="B67" s="8" t="s">
        <v>144</v>
      </c>
      <c r="C67" s="9" t="s">
        <v>145</v>
      </c>
      <c r="D67" s="12"/>
      <c r="E67" s="11" t="str">
        <f>HYPERLINK("https://search.ancestryinstitution.com/aird/search/db.aspx?dbid=9033","Ancestry.com")</f>
        <v>Ancestry.com</v>
      </c>
      <c r="F67" s="12"/>
      <c r="G67" s="12"/>
      <c r="H67" s="13">
        <v>85</v>
      </c>
      <c r="I67" s="14" t="s">
        <v>11</v>
      </c>
    </row>
    <row r="68" spans="1:9" ht="31.2">
      <c r="A68" s="15">
        <v>2717140</v>
      </c>
      <c r="B68" s="8" t="s">
        <v>146</v>
      </c>
      <c r="C68" s="9" t="s">
        <v>147</v>
      </c>
      <c r="D68" s="12"/>
      <c r="E68" s="17" t="s">
        <v>14</v>
      </c>
      <c r="F68" s="12"/>
      <c r="G68" s="12"/>
      <c r="H68" s="13">
        <v>85</v>
      </c>
      <c r="I68" s="14" t="s">
        <v>18</v>
      </c>
    </row>
    <row r="69" spans="1:9" ht="46.8">
      <c r="A69" s="15">
        <v>2867045</v>
      </c>
      <c r="B69" s="8" t="s">
        <v>148</v>
      </c>
      <c r="C69" s="9" t="s">
        <v>149</v>
      </c>
      <c r="D69" s="12"/>
      <c r="E69" s="11" t="str">
        <f>HYPERLINK("https://search.ancestryinstitution.com/aird/search/db.aspx?dbid=8842","Ancestry.com")</f>
        <v>Ancestry.com</v>
      </c>
      <c r="F69" s="12"/>
      <c r="G69" s="12"/>
      <c r="H69" s="13">
        <v>85</v>
      </c>
      <c r="I69" s="14" t="s">
        <v>18</v>
      </c>
    </row>
    <row r="70" spans="1:9" ht="31.2">
      <c r="A70" s="15">
        <v>2771912</v>
      </c>
      <c r="B70" s="8" t="s">
        <v>150</v>
      </c>
      <c r="C70" s="9" t="s">
        <v>151</v>
      </c>
      <c r="D70" s="12"/>
      <c r="E70" s="17" t="s">
        <v>14</v>
      </c>
      <c r="F70" s="12"/>
      <c r="G70" s="12"/>
      <c r="H70" s="13">
        <v>85</v>
      </c>
      <c r="I70" s="14" t="s">
        <v>11</v>
      </c>
    </row>
    <row r="71" spans="1:9" ht="46.8">
      <c r="A71" s="15">
        <v>2771918</v>
      </c>
      <c r="B71" s="8" t="s">
        <v>152</v>
      </c>
      <c r="C71" s="9" t="s">
        <v>153</v>
      </c>
      <c r="D71" s="12"/>
      <c r="E71" s="17" t="s">
        <v>14</v>
      </c>
      <c r="F71" s="12"/>
      <c r="G71" s="12"/>
      <c r="H71" s="13">
        <v>85</v>
      </c>
      <c r="I71" s="14" t="s">
        <v>11</v>
      </c>
    </row>
    <row r="72" spans="1:9" ht="46.8">
      <c r="A72" s="15">
        <v>2922361</v>
      </c>
      <c r="B72" s="8" t="s">
        <v>154</v>
      </c>
      <c r="C72" s="9" t="s">
        <v>155</v>
      </c>
      <c r="D72" s="12"/>
      <c r="E72" s="17" t="s">
        <v>14</v>
      </c>
      <c r="F72" s="12"/>
      <c r="G72" s="12"/>
      <c r="H72" s="13">
        <v>85</v>
      </c>
      <c r="I72" s="14" t="s">
        <v>11</v>
      </c>
    </row>
    <row r="73" spans="1:9" ht="46.8">
      <c r="A73" s="15">
        <v>2922359</v>
      </c>
      <c r="B73" s="8" t="s">
        <v>156</v>
      </c>
      <c r="C73" s="9" t="s">
        <v>157</v>
      </c>
      <c r="D73" s="12"/>
      <c r="E73" s="17" t="s">
        <v>14</v>
      </c>
      <c r="F73" s="12"/>
      <c r="G73" s="12"/>
      <c r="H73" s="13">
        <v>85</v>
      </c>
      <c r="I73" s="14" t="s">
        <v>11</v>
      </c>
    </row>
    <row r="74" spans="1:9" ht="31.2">
      <c r="A74" s="15">
        <v>2789174</v>
      </c>
      <c r="B74" s="8" t="s">
        <v>158</v>
      </c>
      <c r="C74" s="9" t="s">
        <v>159</v>
      </c>
      <c r="D74" s="12"/>
      <c r="E74" s="18" t="s">
        <v>14</v>
      </c>
      <c r="F74" s="12"/>
      <c r="G74" s="12"/>
      <c r="H74" s="13">
        <v>85</v>
      </c>
      <c r="I74" s="14" t="s">
        <v>11</v>
      </c>
    </row>
    <row r="75" spans="1:9" ht="31.2">
      <c r="A75" s="15">
        <v>2789205</v>
      </c>
      <c r="B75" s="8" t="s">
        <v>160</v>
      </c>
      <c r="C75" s="9" t="s">
        <v>161</v>
      </c>
      <c r="D75" s="12"/>
      <c r="E75" s="17" t="s">
        <v>14</v>
      </c>
      <c r="F75" s="12"/>
      <c r="G75" s="12"/>
      <c r="H75" s="13">
        <v>85</v>
      </c>
      <c r="I75" s="23" t="s">
        <v>11</v>
      </c>
    </row>
    <row r="76" spans="1:9" ht="46.8">
      <c r="A76" s="15">
        <v>2789502</v>
      </c>
      <c r="B76" s="8" t="s">
        <v>162</v>
      </c>
      <c r="C76" s="24" t="s">
        <v>163</v>
      </c>
      <c r="D76" s="12"/>
      <c r="E76" s="18" t="s">
        <v>14</v>
      </c>
      <c r="F76" s="12"/>
      <c r="G76" s="12"/>
      <c r="H76" s="13">
        <v>85</v>
      </c>
      <c r="I76" s="14" t="s">
        <v>11</v>
      </c>
    </row>
    <row r="77" spans="1:9" ht="31.2">
      <c r="A77" s="15">
        <v>2825772</v>
      </c>
      <c r="B77" s="8" t="s">
        <v>164</v>
      </c>
      <c r="C77" s="24" t="s">
        <v>165</v>
      </c>
      <c r="D77" s="12"/>
      <c r="E77" s="17" t="s">
        <v>14</v>
      </c>
      <c r="F77" s="12"/>
      <c r="G77" s="12"/>
      <c r="H77" s="13">
        <v>85</v>
      </c>
      <c r="I77" s="14" t="s">
        <v>11</v>
      </c>
    </row>
    <row r="78" spans="1:9" ht="31.2">
      <c r="A78" s="15">
        <v>2827675</v>
      </c>
      <c r="B78" s="8" t="s">
        <v>166</v>
      </c>
      <c r="C78" s="9" t="s">
        <v>167</v>
      </c>
      <c r="D78" s="12"/>
      <c r="E78" s="17" t="s">
        <v>14</v>
      </c>
      <c r="F78" s="12"/>
      <c r="G78" s="12"/>
      <c r="H78" s="13">
        <v>85</v>
      </c>
      <c r="I78" s="14" t="s">
        <v>18</v>
      </c>
    </row>
    <row r="79" spans="1:9" ht="46.8">
      <c r="A79" s="15">
        <v>2843223</v>
      </c>
      <c r="B79" s="8" t="s">
        <v>168</v>
      </c>
      <c r="C79" s="9" t="s">
        <v>169</v>
      </c>
      <c r="D79" s="12"/>
      <c r="E79" s="17" t="s">
        <v>14</v>
      </c>
      <c r="F79" s="12"/>
      <c r="G79" s="12"/>
      <c r="H79" s="13">
        <v>85</v>
      </c>
      <c r="I79" s="14" t="s">
        <v>11</v>
      </c>
    </row>
    <row r="80" spans="1:9" ht="31.2">
      <c r="A80" s="15">
        <v>2788537</v>
      </c>
      <c r="B80" s="8" t="s">
        <v>170</v>
      </c>
      <c r="C80" s="9" t="s">
        <v>171</v>
      </c>
      <c r="D80" s="12"/>
      <c r="E80" s="17" t="s">
        <v>14</v>
      </c>
      <c r="F80" s="12"/>
      <c r="G80" s="12"/>
      <c r="H80" s="13">
        <v>85</v>
      </c>
      <c r="I80" s="14" t="s">
        <v>18</v>
      </c>
    </row>
    <row r="81" spans="1:9" ht="31.2">
      <c r="A81" s="7">
        <v>4497930</v>
      </c>
      <c r="B81" s="8" t="s">
        <v>172</v>
      </c>
      <c r="C81" s="9" t="s">
        <v>173</v>
      </c>
      <c r="D81" s="12"/>
      <c r="E81" s="17" t="s">
        <v>14</v>
      </c>
      <c r="F81" s="11" t="s">
        <v>43</v>
      </c>
      <c r="G81" s="12"/>
      <c r="H81" s="13">
        <v>85</v>
      </c>
      <c r="I81" s="14" t="s">
        <v>11</v>
      </c>
    </row>
    <row r="82" spans="1:9" ht="46.8">
      <c r="A82" s="15">
        <v>3335534</v>
      </c>
      <c r="B82" s="8" t="s">
        <v>174</v>
      </c>
      <c r="C82" s="9" t="s">
        <v>175</v>
      </c>
      <c r="D82" s="12"/>
      <c r="E82" s="11" t="str">
        <f>HYPERLINK("https://search.ancestryinstitution.com/aird/search/db.aspx?dbid=60882","Ancestry.com")</f>
        <v>Ancestry.com</v>
      </c>
      <c r="F82" s="12"/>
      <c r="G82" s="12"/>
      <c r="H82" s="13">
        <v>85</v>
      </c>
      <c r="I82" s="14" t="s">
        <v>18</v>
      </c>
    </row>
    <row r="83" spans="1:9" ht="31.2">
      <c r="A83" s="15">
        <v>2663437</v>
      </c>
      <c r="B83" s="8" t="s">
        <v>176</v>
      </c>
      <c r="C83" s="9" t="s">
        <v>177</v>
      </c>
      <c r="D83" s="12"/>
      <c r="E83" s="17" t="s">
        <v>14</v>
      </c>
      <c r="F83" s="12"/>
      <c r="G83" s="12"/>
      <c r="H83" s="13">
        <v>85</v>
      </c>
      <c r="I83" s="14" t="s">
        <v>11</v>
      </c>
    </row>
    <row r="84" spans="1:9" ht="31.2">
      <c r="A84" s="15">
        <v>2663460</v>
      </c>
      <c r="B84" s="8" t="s">
        <v>178</v>
      </c>
      <c r="C84" s="9" t="s">
        <v>179</v>
      </c>
      <c r="D84" s="12"/>
      <c r="E84" s="17" t="s">
        <v>14</v>
      </c>
      <c r="F84" s="12"/>
      <c r="G84" s="12"/>
      <c r="H84" s="13">
        <v>85</v>
      </c>
      <c r="I84" s="14" t="s">
        <v>11</v>
      </c>
    </row>
    <row r="85" spans="1:9" ht="31.2">
      <c r="A85" s="15">
        <v>2789483</v>
      </c>
      <c r="B85" s="8" t="s">
        <v>180</v>
      </c>
      <c r="C85" s="9" t="s">
        <v>181</v>
      </c>
      <c r="D85" s="12"/>
      <c r="E85" s="12"/>
      <c r="F85" s="11" t="s">
        <v>43</v>
      </c>
      <c r="G85" s="12"/>
      <c r="H85" s="13">
        <v>85</v>
      </c>
      <c r="I85" s="14" t="s">
        <v>11</v>
      </c>
    </row>
    <row r="86" spans="1:9" ht="46.8">
      <c r="A86" s="15">
        <v>3882249</v>
      </c>
      <c r="B86" s="8" t="s">
        <v>182</v>
      </c>
      <c r="C86" s="9" t="s">
        <v>183</v>
      </c>
      <c r="D86" s="11"/>
      <c r="E86" s="19" t="s">
        <v>14</v>
      </c>
      <c r="F86" s="12"/>
      <c r="G86" s="12"/>
      <c r="H86" s="20">
        <v>85</v>
      </c>
      <c r="I86" s="14" t="s">
        <v>11</v>
      </c>
    </row>
    <row r="87" spans="1:9" ht="31.2">
      <c r="A87" s="15">
        <v>2945994</v>
      </c>
      <c r="B87" s="8" t="s">
        <v>184</v>
      </c>
      <c r="C87" s="9" t="s">
        <v>185</v>
      </c>
      <c r="D87" s="11"/>
      <c r="E87" s="19" t="s">
        <v>14</v>
      </c>
      <c r="F87" s="12"/>
      <c r="G87" s="12"/>
      <c r="H87" s="13">
        <v>85</v>
      </c>
      <c r="I87" s="14" t="s">
        <v>11</v>
      </c>
    </row>
    <row r="88" spans="1:9" ht="31.2">
      <c r="A88" s="15">
        <v>3060148</v>
      </c>
      <c r="B88" s="8" t="s">
        <v>186</v>
      </c>
      <c r="C88" s="9" t="s">
        <v>187</v>
      </c>
      <c r="D88" s="12"/>
      <c r="E88" s="11" t="str">
        <f>HYPERLINK("https://search.ancestryinstitution.com/aird/search/db.aspx?dbid=9220","Ancestry.com")</f>
        <v>Ancestry.com</v>
      </c>
      <c r="F88" s="12"/>
      <c r="G88" s="12"/>
      <c r="H88" s="13">
        <v>85</v>
      </c>
      <c r="I88" s="14" t="s">
        <v>18</v>
      </c>
    </row>
    <row r="89" spans="1:9" ht="46.8">
      <c r="A89" s="15">
        <v>2945911</v>
      </c>
      <c r="B89" s="8" t="s">
        <v>188</v>
      </c>
      <c r="C89" s="9" t="s">
        <v>189</v>
      </c>
      <c r="D89" s="12"/>
      <c r="E89" s="17" t="s">
        <v>14</v>
      </c>
      <c r="F89" s="12"/>
      <c r="G89" s="12"/>
      <c r="H89" s="13">
        <v>85</v>
      </c>
      <c r="I89" s="14" t="s">
        <v>18</v>
      </c>
    </row>
    <row r="90" spans="1:9" ht="78">
      <c r="A90" s="15">
        <v>3431492</v>
      </c>
      <c r="B90" s="8" t="s">
        <v>190</v>
      </c>
      <c r="C90" s="9" t="s">
        <v>191</v>
      </c>
      <c r="D90" s="12"/>
      <c r="E90" s="17" t="s">
        <v>14</v>
      </c>
      <c r="F90" s="12"/>
      <c r="G90" s="12"/>
      <c r="H90" s="13">
        <v>85</v>
      </c>
      <c r="I90" s="14" t="s">
        <v>11</v>
      </c>
    </row>
    <row r="91" spans="1:9" ht="46.8">
      <c r="A91" s="15">
        <v>2990256</v>
      </c>
      <c r="B91" s="8" t="s">
        <v>192</v>
      </c>
      <c r="C91" s="9" t="s">
        <v>193</v>
      </c>
      <c r="D91" s="12"/>
      <c r="E91" s="17" t="s">
        <v>14</v>
      </c>
      <c r="F91" s="12"/>
      <c r="G91" s="12"/>
      <c r="H91" s="13">
        <v>85</v>
      </c>
      <c r="I91" s="14" t="s">
        <v>11</v>
      </c>
    </row>
    <row r="92" spans="1:9" ht="46.8">
      <c r="A92" s="15">
        <v>2848423</v>
      </c>
      <c r="B92" s="8" t="s">
        <v>194</v>
      </c>
      <c r="C92" s="9" t="s">
        <v>195</v>
      </c>
      <c r="D92" s="12"/>
      <c r="E92" s="17" t="s">
        <v>14</v>
      </c>
      <c r="F92" s="12"/>
      <c r="G92" s="12"/>
      <c r="H92" s="13">
        <v>85</v>
      </c>
      <c r="I92" s="14" t="s">
        <v>11</v>
      </c>
    </row>
    <row r="93" spans="1:9" ht="46.8">
      <c r="A93" s="15">
        <v>2848402</v>
      </c>
      <c r="B93" s="8" t="s">
        <v>196</v>
      </c>
      <c r="C93" s="9" t="s">
        <v>197</v>
      </c>
      <c r="D93" s="12"/>
      <c r="E93" s="17" t="s">
        <v>14</v>
      </c>
      <c r="F93" s="12"/>
      <c r="G93" s="12"/>
      <c r="H93" s="13">
        <v>85</v>
      </c>
      <c r="I93" s="14" t="s">
        <v>11</v>
      </c>
    </row>
    <row r="94" spans="1:9" ht="46.8">
      <c r="A94" s="15">
        <v>2848432</v>
      </c>
      <c r="B94" s="8" t="s">
        <v>198</v>
      </c>
      <c r="C94" s="9" t="s">
        <v>199</v>
      </c>
      <c r="D94" s="12"/>
      <c r="E94" s="17" t="s">
        <v>14</v>
      </c>
      <c r="F94" s="12"/>
      <c r="G94" s="12"/>
      <c r="H94" s="13">
        <v>85</v>
      </c>
      <c r="I94" s="14" t="s">
        <v>11</v>
      </c>
    </row>
    <row r="95" spans="1:9" ht="46.8">
      <c r="A95" s="15">
        <v>2848782</v>
      </c>
      <c r="B95" s="8" t="s">
        <v>200</v>
      </c>
      <c r="C95" s="9" t="s">
        <v>201</v>
      </c>
      <c r="D95" s="12"/>
      <c r="E95" s="17" t="s">
        <v>14</v>
      </c>
      <c r="F95" s="12"/>
      <c r="G95" s="12"/>
      <c r="H95" s="13">
        <v>85</v>
      </c>
      <c r="I95" s="14" t="s">
        <v>18</v>
      </c>
    </row>
    <row r="96" spans="1:9" ht="31.2">
      <c r="A96" s="15">
        <v>3005335</v>
      </c>
      <c r="B96" s="8" t="s">
        <v>202</v>
      </c>
      <c r="C96" s="9" t="s">
        <v>203</v>
      </c>
      <c r="D96" s="11"/>
      <c r="E96" s="19" t="s">
        <v>14</v>
      </c>
      <c r="F96" s="12"/>
      <c r="G96" s="12"/>
      <c r="H96" s="13">
        <v>85</v>
      </c>
      <c r="I96" s="14" t="s">
        <v>11</v>
      </c>
    </row>
    <row r="97" spans="1:9" ht="31.2">
      <c r="A97" s="15">
        <v>3053962</v>
      </c>
      <c r="B97" s="8" t="s">
        <v>204</v>
      </c>
      <c r="C97" s="9" t="s">
        <v>205</v>
      </c>
      <c r="D97" s="12"/>
      <c r="E97" s="11" t="str">
        <f>HYPERLINK("https://search.ancestryinstitution.com/aird/search/db.aspx?dbid=9033","Ancestry.com")</f>
        <v>Ancestry.com</v>
      </c>
      <c r="F97" s="12"/>
      <c r="G97" s="12"/>
      <c r="H97" s="13">
        <v>85</v>
      </c>
      <c r="I97" s="14" t="s">
        <v>11</v>
      </c>
    </row>
    <row r="98" spans="1:9" ht="31.2">
      <c r="A98" s="15">
        <v>3432877</v>
      </c>
      <c r="B98" s="8" t="s">
        <v>206</v>
      </c>
      <c r="C98" s="9" t="s">
        <v>207</v>
      </c>
      <c r="D98" s="11"/>
      <c r="E98" s="19" t="s">
        <v>14</v>
      </c>
      <c r="F98" s="12"/>
      <c r="G98" s="12"/>
      <c r="H98" s="13">
        <v>85</v>
      </c>
      <c r="I98" s="14" t="s">
        <v>11</v>
      </c>
    </row>
    <row r="99" spans="1:9" ht="46.8">
      <c r="A99" s="15">
        <v>3720055</v>
      </c>
      <c r="B99" s="8" t="s">
        <v>208</v>
      </c>
      <c r="C99" s="9" t="s">
        <v>209</v>
      </c>
      <c r="D99" s="12"/>
      <c r="E99" s="17" t="s">
        <v>14</v>
      </c>
      <c r="F99" s="12"/>
      <c r="G99" s="12"/>
      <c r="H99" s="13">
        <v>85</v>
      </c>
      <c r="I99" s="14" t="s">
        <v>18</v>
      </c>
    </row>
    <row r="100" spans="1:9" ht="31.2">
      <c r="A100" s="15">
        <v>3725231</v>
      </c>
      <c r="B100" s="8" t="s">
        <v>210</v>
      </c>
      <c r="C100" s="9" t="s">
        <v>211</v>
      </c>
      <c r="D100" s="12"/>
      <c r="E100" s="17" t="s">
        <v>14</v>
      </c>
      <c r="F100" s="12"/>
      <c r="G100" s="12"/>
      <c r="H100" s="13">
        <v>85</v>
      </c>
      <c r="I100" s="14" t="s">
        <v>11</v>
      </c>
    </row>
    <row r="101" spans="1:9" ht="31.2">
      <c r="A101" s="15">
        <v>3663584</v>
      </c>
      <c r="B101" s="8" t="s">
        <v>212</v>
      </c>
      <c r="C101" s="9" t="s">
        <v>213</v>
      </c>
      <c r="D101" s="12"/>
      <c r="E101" s="11" t="str">
        <f>HYPERLINK("https://search.ancestryinstitution.com/aird/search/db.aspx?dbid=9033","Ancestry.com")</f>
        <v>Ancestry.com</v>
      </c>
      <c r="F101" s="12"/>
      <c r="G101" s="12"/>
      <c r="H101" s="13">
        <v>85</v>
      </c>
      <c r="I101" s="14" t="s">
        <v>11</v>
      </c>
    </row>
    <row r="102" spans="1:9" ht="46.8">
      <c r="A102" s="15">
        <v>4076546</v>
      </c>
      <c r="B102" s="8" t="s">
        <v>214</v>
      </c>
      <c r="C102" s="9" t="s">
        <v>215</v>
      </c>
      <c r="D102" s="12"/>
      <c r="E102" s="11" t="str">
        <f>HYPERLINK("https://search.ancestryinstitution.com/aird/search/db.aspx?dbid=8769","Ancestry.com")</f>
        <v>Ancestry.com</v>
      </c>
      <c r="F102" s="12"/>
      <c r="G102" s="12"/>
      <c r="H102" s="13">
        <v>85</v>
      </c>
      <c r="I102" s="14" t="s">
        <v>11</v>
      </c>
    </row>
    <row r="103" spans="1:9" ht="31.2">
      <c r="A103" s="7">
        <v>17027507</v>
      </c>
      <c r="B103" s="8" t="s">
        <v>216</v>
      </c>
      <c r="C103" s="16" t="s">
        <v>217</v>
      </c>
      <c r="D103" s="12"/>
      <c r="E103" s="12"/>
      <c r="F103" s="11" t="s">
        <v>43</v>
      </c>
      <c r="G103" s="12"/>
      <c r="H103" s="13">
        <v>36</v>
      </c>
      <c r="I103" s="14" t="s">
        <v>15</v>
      </c>
    </row>
    <row r="104" spans="1:9" ht="31.2">
      <c r="A104" s="15">
        <v>654520</v>
      </c>
      <c r="B104" s="8" t="s">
        <v>218</v>
      </c>
      <c r="C104" s="9" t="s">
        <v>219</v>
      </c>
      <c r="D104" s="11" t="s">
        <v>220</v>
      </c>
      <c r="E104" s="17" t="s">
        <v>14</v>
      </c>
      <c r="F104" s="11" t="s">
        <v>43</v>
      </c>
      <c r="G104" s="12"/>
      <c r="H104" s="13">
        <v>94</v>
      </c>
      <c r="I104" s="14" t="s">
        <v>11</v>
      </c>
    </row>
    <row r="105" spans="1:9" ht="31.2">
      <c r="A105" s="15" t="s">
        <v>221</v>
      </c>
      <c r="B105" s="8" t="s">
        <v>222</v>
      </c>
      <c r="C105" s="9" t="s">
        <v>223</v>
      </c>
      <c r="D105" s="12"/>
      <c r="E105" s="17" t="s">
        <v>14</v>
      </c>
      <c r="F105" s="12"/>
      <c r="G105" s="12"/>
      <c r="H105" s="13">
        <v>94</v>
      </c>
      <c r="I105" s="14" t="s">
        <v>11</v>
      </c>
    </row>
    <row r="106" spans="1:9" ht="31.2">
      <c r="A106" s="25">
        <v>300368</v>
      </c>
      <c r="B106" s="21" t="s">
        <v>224</v>
      </c>
      <c r="C106" s="9" t="s">
        <v>225</v>
      </c>
      <c r="D106" s="26" t="s">
        <v>220</v>
      </c>
      <c r="E106" s="17"/>
      <c r="F106" s="12"/>
      <c r="G106" s="12"/>
      <c r="H106" s="20">
        <v>94</v>
      </c>
      <c r="I106" s="14" t="s">
        <v>18</v>
      </c>
    </row>
    <row r="107" spans="1:9" ht="31.2">
      <c r="A107" s="15">
        <v>2791166</v>
      </c>
      <c r="B107" s="8" t="s">
        <v>226</v>
      </c>
      <c r="C107" s="9" t="s">
        <v>227</v>
      </c>
      <c r="D107" s="12"/>
      <c r="E107" s="17" t="s">
        <v>14</v>
      </c>
      <c r="F107" s="12"/>
      <c r="G107" s="12"/>
      <c r="H107" s="13">
        <v>29</v>
      </c>
      <c r="I107" s="14" t="s">
        <v>18</v>
      </c>
    </row>
    <row r="108" spans="1:9" ht="78">
      <c r="A108" s="15">
        <v>654530</v>
      </c>
      <c r="B108" s="8" t="s">
        <v>228</v>
      </c>
      <c r="C108" s="9" t="s">
        <v>229</v>
      </c>
      <c r="D108" s="11" t="s">
        <v>220</v>
      </c>
      <c r="E108" s="12"/>
      <c r="F108" s="12"/>
      <c r="G108" s="12"/>
      <c r="H108" s="13">
        <v>94</v>
      </c>
      <c r="I108" s="14" t="s">
        <v>11</v>
      </c>
    </row>
    <row r="109" spans="1:9" ht="31.2">
      <c r="A109" s="15">
        <v>4449160</v>
      </c>
      <c r="B109" s="8" t="s">
        <v>230</v>
      </c>
      <c r="C109" s="9" t="s">
        <v>231</v>
      </c>
      <c r="D109" s="12"/>
      <c r="E109" s="17" t="s">
        <v>14</v>
      </c>
      <c r="F109" s="11" t="s">
        <v>43</v>
      </c>
      <c r="G109" s="12"/>
      <c r="H109" s="13">
        <v>85</v>
      </c>
      <c r="I109" s="14" t="s">
        <v>18</v>
      </c>
    </row>
    <row r="110" spans="1:9" ht="46.8">
      <c r="A110" s="15">
        <v>4482916</v>
      </c>
      <c r="B110" s="8" t="s">
        <v>232</v>
      </c>
      <c r="C110" s="9" t="s">
        <v>233</v>
      </c>
      <c r="D110" s="12"/>
      <c r="E110" s="17" t="s">
        <v>14</v>
      </c>
      <c r="F110" s="12"/>
      <c r="G110" s="12"/>
      <c r="H110" s="13">
        <v>85</v>
      </c>
      <c r="I110" s="14" t="s">
        <v>11</v>
      </c>
    </row>
    <row r="111" spans="1:9" ht="31.2">
      <c r="A111" s="15">
        <v>1077435</v>
      </c>
      <c r="B111" s="8" t="s">
        <v>234</v>
      </c>
      <c r="C111" s="27" t="s">
        <v>235</v>
      </c>
      <c r="D111" s="12"/>
      <c r="E111" s="17" t="s">
        <v>14</v>
      </c>
      <c r="F111" s="12"/>
      <c r="G111" s="12"/>
      <c r="H111" s="13">
        <v>35</v>
      </c>
      <c r="I111" s="14" t="s">
        <v>11</v>
      </c>
    </row>
    <row r="112" spans="1:9" ht="46.8">
      <c r="A112" s="28" t="str">
        <f>HYPERLINK("https://catalog.archives.gov/search?q=M1903&amp;f.level=series&amp;f.recordGroupNoCollectionId=105","Various")</f>
        <v>Various</v>
      </c>
      <c r="B112" s="8" t="s">
        <v>236</v>
      </c>
      <c r="C112" s="9" t="s">
        <v>237</v>
      </c>
      <c r="D112" s="12"/>
      <c r="E112" s="17" t="s">
        <v>14</v>
      </c>
      <c r="F112" s="11" t="s">
        <v>43</v>
      </c>
      <c r="G112" s="12"/>
      <c r="H112" s="13">
        <v>105</v>
      </c>
      <c r="I112" s="14" t="s">
        <v>11</v>
      </c>
    </row>
    <row r="113" spans="1:9" ht="46.8">
      <c r="A113" s="15" t="s">
        <v>238</v>
      </c>
      <c r="B113" s="8" t="s">
        <v>239</v>
      </c>
      <c r="C113" s="9" t="s">
        <v>240</v>
      </c>
      <c r="D113" s="11" t="s">
        <v>220</v>
      </c>
      <c r="E113" s="12"/>
      <c r="F113" s="12"/>
      <c r="G113" s="12"/>
      <c r="H113" s="13">
        <v>260</v>
      </c>
      <c r="I113" s="14" t="s">
        <v>18</v>
      </c>
    </row>
    <row r="114" spans="1:9" ht="31.2">
      <c r="A114" s="15">
        <v>12010934</v>
      </c>
      <c r="B114" s="8" t="s">
        <v>241</v>
      </c>
      <c r="C114" s="9" t="s">
        <v>242</v>
      </c>
      <c r="D114" s="12"/>
      <c r="E114" s="17" t="s">
        <v>14</v>
      </c>
      <c r="F114" s="12"/>
      <c r="G114" s="12"/>
      <c r="H114" s="13">
        <v>36</v>
      </c>
      <c r="I114" s="14" t="s">
        <v>11</v>
      </c>
    </row>
    <row r="115" spans="1:9" ht="31.2">
      <c r="A115" s="15">
        <v>4486713</v>
      </c>
      <c r="B115" s="8" t="s">
        <v>243</v>
      </c>
      <c r="C115" s="9" t="s">
        <v>244</v>
      </c>
      <c r="D115" s="12"/>
      <c r="E115" s="17" t="s">
        <v>14</v>
      </c>
      <c r="F115" s="17" t="s">
        <v>43</v>
      </c>
      <c r="G115" s="12"/>
      <c r="H115" s="13">
        <v>85</v>
      </c>
      <c r="I115" s="14" t="s">
        <v>11</v>
      </c>
    </row>
    <row r="116" spans="1:9" ht="31.2">
      <c r="A116" s="15">
        <v>4532545</v>
      </c>
      <c r="B116" s="8" t="s">
        <v>245</v>
      </c>
      <c r="C116" s="9" t="s">
        <v>246</v>
      </c>
      <c r="D116" s="12"/>
      <c r="E116" s="17" t="s">
        <v>14</v>
      </c>
      <c r="F116" s="11" t="s">
        <v>43</v>
      </c>
      <c r="G116" s="12"/>
      <c r="H116" s="13">
        <v>85</v>
      </c>
      <c r="I116" s="14" t="s">
        <v>11</v>
      </c>
    </row>
    <row r="117" spans="1:9" ht="31.2">
      <c r="A117" s="29">
        <v>594996</v>
      </c>
      <c r="B117" s="8" t="s">
        <v>247</v>
      </c>
      <c r="C117" s="9" t="s">
        <v>248</v>
      </c>
      <c r="D117" s="12"/>
      <c r="E117" s="26" t="s">
        <v>14</v>
      </c>
      <c r="F117" s="12"/>
      <c r="G117" s="12"/>
      <c r="H117" s="30">
        <v>24</v>
      </c>
      <c r="I117" s="14" t="s">
        <v>18</v>
      </c>
    </row>
    <row r="118" spans="1:9" ht="31.2">
      <c r="A118" s="8">
        <v>251747</v>
      </c>
      <c r="B118" s="8" t="s">
        <v>249</v>
      </c>
      <c r="C118" s="9" t="s">
        <v>250</v>
      </c>
      <c r="D118" s="12"/>
      <c r="E118" s="31" t="str">
        <f>HYPERLINK("https://search.ancestryinstitution.com/search/db.aspx?dbid=60543","Ancestry.com")</f>
        <v>Ancestry.com</v>
      </c>
      <c r="F118" s="12"/>
      <c r="G118" s="12"/>
      <c r="H118" s="8">
        <v>75</v>
      </c>
      <c r="I118" s="7" t="s">
        <v>11</v>
      </c>
    </row>
    <row r="119" spans="1:9" ht="46.8">
      <c r="A119" s="29">
        <v>300398</v>
      </c>
      <c r="B119" s="8" t="s">
        <v>249</v>
      </c>
      <c r="C119" s="9" t="s">
        <v>251</v>
      </c>
      <c r="D119" s="32" t="s">
        <v>220</v>
      </c>
      <c r="E119" s="12"/>
      <c r="F119" s="12"/>
      <c r="G119" s="12"/>
      <c r="H119" s="33">
        <v>94</v>
      </c>
      <c r="I119" s="14" t="s">
        <v>18</v>
      </c>
    </row>
    <row r="120" spans="1:9" ht="46.8">
      <c r="A120" s="29">
        <v>300398</v>
      </c>
      <c r="B120" s="8" t="s">
        <v>249</v>
      </c>
      <c r="C120" s="16" t="s">
        <v>252</v>
      </c>
      <c r="D120" s="32" t="s">
        <v>220</v>
      </c>
      <c r="E120" s="12"/>
      <c r="F120" s="12"/>
      <c r="G120" s="12"/>
      <c r="H120" s="33">
        <v>94</v>
      </c>
      <c r="I120" s="14" t="s">
        <v>15</v>
      </c>
    </row>
    <row r="121" spans="1:9" ht="62.4">
      <c r="A121" s="29">
        <v>300398</v>
      </c>
      <c r="B121" s="8" t="s">
        <v>249</v>
      </c>
      <c r="C121" s="16" t="s">
        <v>253</v>
      </c>
      <c r="D121" s="32" t="s">
        <v>220</v>
      </c>
      <c r="E121" s="12"/>
      <c r="F121" s="12"/>
      <c r="G121" s="12"/>
      <c r="H121" s="33">
        <v>94</v>
      </c>
      <c r="I121" s="14" t="s">
        <v>15</v>
      </c>
    </row>
    <row r="122" spans="1:9" ht="62.4">
      <c r="A122" s="29">
        <v>300398</v>
      </c>
      <c r="B122" s="8" t="s">
        <v>249</v>
      </c>
      <c r="C122" s="16" t="s">
        <v>254</v>
      </c>
      <c r="D122" s="32" t="s">
        <v>220</v>
      </c>
      <c r="E122" s="12"/>
      <c r="F122" s="12"/>
      <c r="G122" s="12"/>
      <c r="H122" s="33">
        <v>94</v>
      </c>
      <c r="I122" s="14" t="s">
        <v>15</v>
      </c>
    </row>
    <row r="123" spans="1:9" ht="62.4">
      <c r="A123" s="29">
        <v>300398</v>
      </c>
      <c r="B123" s="8" t="s">
        <v>249</v>
      </c>
      <c r="C123" s="16" t="s">
        <v>255</v>
      </c>
      <c r="D123" s="32" t="s">
        <v>220</v>
      </c>
      <c r="E123" s="12"/>
      <c r="F123" s="12"/>
      <c r="G123" s="12"/>
      <c r="H123" s="33">
        <v>94</v>
      </c>
      <c r="I123" s="14" t="s">
        <v>15</v>
      </c>
    </row>
    <row r="124" spans="1:9" ht="62.4">
      <c r="A124" s="29">
        <v>300398</v>
      </c>
      <c r="B124" s="8" t="s">
        <v>249</v>
      </c>
      <c r="C124" s="16" t="s">
        <v>256</v>
      </c>
      <c r="D124" s="32" t="s">
        <v>220</v>
      </c>
      <c r="E124" s="12"/>
      <c r="F124" s="12"/>
      <c r="G124" s="12"/>
      <c r="H124" s="33">
        <v>94</v>
      </c>
      <c r="I124" s="14" t="s">
        <v>15</v>
      </c>
    </row>
    <row r="125" spans="1:9" ht="62.4">
      <c r="A125" s="29">
        <v>300398</v>
      </c>
      <c r="B125" s="8" t="s">
        <v>249</v>
      </c>
      <c r="C125" s="16" t="s">
        <v>257</v>
      </c>
      <c r="D125" s="32" t="s">
        <v>220</v>
      </c>
      <c r="E125" s="12"/>
      <c r="F125" s="12"/>
      <c r="G125" s="12"/>
      <c r="H125" s="33">
        <v>94</v>
      </c>
      <c r="I125" s="14" t="s">
        <v>15</v>
      </c>
    </row>
    <row r="126" spans="1:9" ht="62.4">
      <c r="A126" s="29">
        <v>300398</v>
      </c>
      <c r="B126" s="8" t="s">
        <v>249</v>
      </c>
      <c r="C126" s="16" t="s">
        <v>258</v>
      </c>
      <c r="D126" s="32" t="s">
        <v>220</v>
      </c>
      <c r="E126" s="12"/>
      <c r="F126" s="12"/>
      <c r="G126" s="12"/>
      <c r="H126" s="33">
        <v>94</v>
      </c>
      <c r="I126" s="14" t="s">
        <v>15</v>
      </c>
    </row>
    <row r="127" spans="1:9" ht="62.4">
      <c r="A127" s="29">
        <v>300398</v>
      </c>
      <c r="B127" s="8" t="s">
        <v>249</v>
      </c>
      <c r="C127" s="16" t="s">
        <v>259</v>
      </c>
      <c r="D127" s="32" t="s">
        <v>220</v>
      </c>
      <c r="E127" s="12"/>
      <c r="F127" s="12"/>
      <c r="G127" s="12"/>
      <c r="H127" s="33">
        <v>94</v>
      </c>
      <c r="I127" s="14" t="s">
        <v>15</v>
      </c>
    </row>
    <row r="128" spans="1:9" ht="46.8">
      <c r="A128" s="29">
        <v>300398</v>
      </c>
      <c r="B128" s="8" t="s">
        <v>249</v>
      </c>
      <c r="C128" s="16" t="s">
        <v>260</v>
      </c>
      <c r="D128" s="32" t="s">
        <v>220</v>
      </c>
      <c r="E128" s="12"/>
      <c r="F128" s="12"/>
      <c r="G128" s="12"/>
      <c r="H128" s="33">
        <v>94</v>
      </c>
      <c r="I128" s="14" t="s">
        <v>15</v>
      </c>
    </row>
    <row r="129" spans="1:9" ht="46.8">
      <c r="A129" s="29">
        <v>300398</v>
      </c>
      <c r="B129" s="8" t="s">
        <v>249</v>
      </c>
      <c r="C129" s="16" t="s">
        <v>261</v>
      </c>
      <c r="D129" s="32" t="s">
        <v>220</v>
      </c>
      <c r="E129" s="12"/>
      <c r="F129" s="12"/>
      <c r="G129" s="12"/>
      <c r="H129" s="33">
        <v>94</v>
      </c>
      <c r="I129" s="14" t="s">
        <v>15</v>
      </c>
    </row>
    <row r="130" spans="1:9" ht="46.8">
      <c r="A130" s="29">
        <v>300398</v>
      </c>
      <c r="B130" s="8" t="s">
        <v>249</v>
      </c>
      <c r="C130" s="34" t="s">
        <v>262</v>
      </c>
      <c r="D130" s="32" t="s">
        <v>220</v>
      </c>
      <c r="E130" s="12"/>
      <c r="F130" s="12"/>
      <c r="G130" s="12"/>
      <c r="H130" s="33">
        <v>94</v>
      </c>
      <c r="I130" s="14" t="s">
        <v>15</v>
      </c>
    </row>
    <row r="131" spans="1:9" ht="31.2">
      <c r="A131" s="29">
        <v>578684</v>
      </c>
      <c r="B131" s="8" t="s">
        <v>249</v>
      </c>
      <c r="C131" s="35" t="s">
        <v>263</v>
      </c>
      <c r="D131" s="12"/>
      <c r="E131" s="26" t="s">
        <v>14</v>
      </c>
      <c r="F131" s="12"/>
      <c r="G131" s="12"/>
      <c r="H131" s="33">
        <v>163</v>
      </c>
      <c r="I131" s="14" t="s">
        <v>18</v>
      </c>
    </row>
    <row r="132" spans="1:9" ht="31.2">
      <c r="A132" s="8">
        <v>608846</v>
      </c>
      <c r="B132" s="8" t="s">
        <v>249</v>
      </c>
      <c r="C132" s="35" t="s">
        <v>264</v>
      </c>
      <c r="D132" s="31" t="str">
        <f>HYPERLINK("https://search.ancestryinstitution.com/search/db.aspx?dbid=1253","Ancestry.com")</f>
        <v>Ancestry.com</v>
      </c>
      <c r="E132" s="12"/>
      <c r="F132" s="12"/>
      <c r="G132" s="12"/>
      <c r="H132" s="8">
        <v>129</v>
      </c>
      <c r="I132" s="14" t="s">
        <v>18</v>
      </c>
    </row>
    <row r="133" spans="1:9" ht="31.2">
      <c r="A133" s="29">
        <v>613857</v>
      </c>
      <c r="B133" s="8" t="s">
        <v>249</v>
      </c>
      <c r="C133" s="35" t="s">
        <v>265</v>
      </c>
      <c r="D133" s="12"/>
      <c r="E133" s="26" t="s">
        <v>14</v>
      </c>
      <c r="F133" s="12"/>
      <c r="G133" s="12"/>
      <c r="H133" s="33">
        <v>59</v>
      </c>
      <c r="I133" s="14" t="s">
        <v>18</v>
      </c>
    </row>
    <row r="134" spans="1:9" ht="31.2">
      <c r="A134" s="29">
        <v>614781</v>
      </c>
      <c r="B134" s="8" t="s">
        <v>249</v>
      </c>
      <c r="C134" s="35" t="s">
        <v>266</v>
      </c>
      <c r="D134" s="12"/>
      <c r="E134" s="26" t="s">
        <v>14</v>
      </c>
      <c r="F134" s="12"/>
      <c r="G134" s="12"/>
      <c r="H134" s="33">
        <v>92</v>
      </c>
      <c r="I134" s="14" t="s">
        <v>11</v>
      </c>
    </row>
    <row r="135" spans="1:9" ht="46.8">
      <c r="A135" s="29">
        <v>641528</v>
      </c>
      <c r="B135" s="8" t="s">
        <v>249</v>
      </c>
      <c r="C135" s="35" t="s">
        <v>267</v>
      </c>
      <c r="D135" s="12"/>
      <c r="E135" s="26" t="s">
        <v>14</v>
      </c>
      <c r="F135" s="12"/>
      <c r="G135" s="12"/>
      <c r="H135" s="33">
        <v>21</v>
      </c>
      <c r="I135" s="14" t="s">
        <v>11</v>
      </c>
    </row>
    <row r="136" spans="1:9" ht="46.8">
      <c r="A136" s="36">
        <v>641532</v>
      </c>
      <c r="B136" s="8" t="s">
        <v>249</v>
      </c>
      <c r="C136" s="35" t="s">
        <v>268</v>
      </c>
      <c r="D136" s="12"/>
      <c r="E136" s="26" t="s">
        <v>14</v>
      </c>
      <c r="F136" s="32"/>
      <c r="G136" s="12"/>
      <c r="H136" s="33">
        <v>21</v>
      </c>
      <c r="I136" s="14" t="s">
        <v>11</v>
      </c>
    </row>
    <row r="137" spans="1:9" ht="46.8">
      <c r="A137" s="29">
        <v>646080</v>
      </c>
      <c r="B137" s="8" t="s">
        <v>249</v>
      </c>
      <c r="C137" s="35" t="s">
        <v>269</v>
      </c>
      <c r="D137" s="12"/>
      <c r="E137" s="26" t="s">
        <v>14</v>
      </c>
      <c r="F137" s="12"/>
      <c r="G137" s="12"/>
      <c r="H137" s="33">
        <v>85</v>
      </c>
      <c r="I137" s="14" t="s">
        <v>11</v>
      </c>
    </row>
    <row r="138" spans="1:9" ht="31.2">
      <c r="A138" s="29">
        <v>649203</v>
      </c>
      <c r="B138" s="8" t="s">
        <v>249</v>
      </c>
      <c r="C138" s="35" t="s">
        <v>270</v>
      </c>
      <c r="D138" s="12"/>
      <c r="E138" s="26" t="s">
        <v>14</v>
      </c>
      <c r="F138" s="12"/>
      <c r="G138" s="12"/>
      <c r="H138" s="33" t="s">
        <v>271</v>
      </c>
      <c r="I138" s="14" t="s">
        <v>18</v>
      </c>
    </row>
    <row r="139" spans="1:9" ht="46.8">
      <c r="A139" s="8">
        <v>730944</v>
      </c>
      <c r="B139" s="8" t="s">
        <v>249</v>
      </c>
      <c r="C139" s="35" t="s">
        <v>272</v>
      </c>
      <c r="D139" s="12"/>
      <c r="E139" s="12"/>
      <c r="F139" s="31" t="str">
        <f>HYPERLINK("https://www.familysearch.org/search/collection/2513103","FamilySearch.org")</f>
        <v>FamilySearch.org</v>
      </c>
      <c r="G139" s="12"/>
      <c r="H139" s="8">
        <v>21</v>
      </c>
      <c r="I139" s="7" t="s">
        <v>18</v>
      </c>
    </row>
    <row r="140" spans="1:9" ht="46.8">
      <c r="A140" s="8">
        <v>788666</v>
      </c>
      <c r="B140" s="8" t="s">
        <v>249</v>
      </c>
      <c r="C140" s="35" t="s">
        <v>273</v>
      </c>
      <c r="D140" s="12"/>
      <c r="E140" s="12"/>
      <c r="F140" s="31" t="str">
        <f>HYPERLINK("https://www.familysearch.org/search/catalog/2842204","FamilySearch.org")</f>
        <v>FamilySearch.org</v>
      </c>
      <c r="G140" s="12"/>
      <c r="H140" s="8">
        <v>21</v>
      </c>
      <c r="I140" s="7" t="s">
        <v>11</v>
      </c>
    </row>
    <row r="141" spans="1:9" ht="46.8">
      <c r="A141" s="8">
        <v>788681</v>
      </c>
      <c r="B141" s="8" t="s">
        <v>249</v>
      </c>
      <c r="C141" s="35" t="s">
        <v>274</v>
      </c>
      <c r="D141" s="12"/>
      <c r="E141" s="12"/>
      <c r="F141" s="31" t="str">
        <f>HYPERLINK("https://www.familysearch.org/search/catalog/2842203","FamilySearch.org")</f>
        <v>FamilySearch.org</v>
      </c>
      <c r="G141" s="12"/>
      <c r="H141" s="8">
        <v>21</v>
      </c>
      <c r="I141" s="7" t="s">
        <v>11</v>
      </c>
    </row>
    <row r="142" spans="1:9" ht="46.8">
      <c r="A142" s="8">
        <v>895485</v>
      </c>
      <c r="B142" s="8" t="s">
        <v>249</v>
      </c>
      <c r="C142" s="35" t="s">
        <v>275</v>
      </c>
      <c r="D142" s="12"/>
      <c r="E142" s="12"/>
      <c r="F142" s="31" t="str">
        <f>HYPERLINK("https://www.familysearch.org/wiki/en/Alaska,_Naturalization_Records_-_FamilySearch_Historical_Records","FamilySearch.org")</f>
        <v>FamilySearch.org</v>
      </c>
      <c r="G142" s="12"/>
      <c r="H142" s="8">
        <v>21</v>
      </c>
      <c r="I142" s="7" t="s">
        <v>11</v>
      </c>
    </row>
    <row r="143" spans="1:9" ht="31.2">
      <c r="A143" s="29">
        <v>1157946</v>
      </c>
      <c r="B143" s="8" t="s">
        <v>249</v>
      </c>
      <c r="C143" s="35" t="s">
        <v>276</v>
      </c>
      <c r="D143" s="12"/>
      <c r="E143" s="26" t="s">
        <v>14</v>
      </c>
      <c r="F143" s="12"/>
      <c r="G143" s="12"/>
      <c r="H143" s="33">
        <v>163</v>
      </c>
      <c r="I143" s="14" t="s">
        <v>11</v>
      </c>
    </row>
    <row r="144" spans="1:9" ht="31.2">
      <c r="A144" s="29">
        <v>1227672</v>
      </c>
      <c r="B144" s="8" t="s">
        <v>249</v>
      </c>
      <c r="C144" s="35" t="s">
        <v>277</v>
      </c>
      <c r="D144" s="12"/>
      <c r="E144" s="26" t="s">
        <v>14</v>
      </c>
      <c r="F144" s="12"/>
      <c r="G144" s="12"/>
      <c r="H144" s="33">
        <v>59</v>
      </c>
      <c r="I144" s="14" t="s">
        <v>11</v>
      </c>
    </row>
    <row r="145" spans="1:9" ht="31.2">
      <c r="A145" s="29">
        <v>1227673</v>
      </c>
      <c r="B145" s="8" t="s">
        <v>249</v>
      </c>
      <c r="C145" s="35" t="s">
        <v>278</v>
      </c>
      <c r="D145" s="12"/>
      <c r="E145" s="26" t="s">
        <v>14</v>
      </c>
      <c r="F145" s="12"/>
      <c r="G145" s="12"/>
      <c r="H145" s="33">
        <v>59</v>
      </c>
      <c r="I145" s="14" t="s">
        <v>11</v>
      </c>
    </row>
    <row r="146" spans="1:9" ht="31.2">
      <c r="A146" s="29">
        <v>1244180</v>
      </c>
      <c r="B146" s="8" t="s">
        <v>249</v>
      </c>
      <c r="C146" s="35" t="s">
        <v>279</v>
      </c>
      <c r="D146" s="12"/>
      <c r="E146" s="26" t="s">
        <v>14</v>
      </c>
      <c r="F146" s="12"/>
      <c r="G146" s="12"/>
      <c r="H146" s="33">
        <v>59</v>
      </c>
      <c r="I146" s="14" t="s">
        <v>18</v>
      </c>
    </row>
    <row r="147" spans="1:9" ht="31.2">
      <c r="A147" s="29">
        <v>1253497</v>
      </c>
      <c r="B147" s="8" t="s">
        <v>249</v>
      </c>
      <c r="C147" s="35" t="s">
        <v>280</v>
      </c>
      <c r="D147" s="12"/>
      <c r="E147" s="26" t="s">
        <v>14</v>
      </c>
      <c r="F147" s="12"/>
      <c r="G147" s="12"/>
      <c r="H147" s="33">
        <v>59</v>
      </c>
      <c r="I147" s="14" t="s">
        <v>11</v>
      </c>
    </row>
    <row r="148" spans="1:9" ht="31.2">
      <c r="A148" s="29">
        <v>2165747</v>
      </c>
      <c r="B148" s="8" t="s">
        <v>249</v>
      </c>
      <c r="C148" s="35" t="s">
        <v>281</v>
      </c>
      <c r="D148" s="12"/>
      <c r="E148" s="26" t="s">
        <v>14</v>
      </c>
      <c r="F148" s="12"/>
      <c r="G148" s="12"/>
      <c r="H148" s="33">
        <v>21</v>
      </c>
      <c r="I148" s="14" t="s">
        <v>18</v>
      </c>
    </row>
    <row r="149" spans="1:9" ht="46.8">
      <c r="A149" s="29">
        <v>2165751</v>
      </c>
      <c r="B149" s="8" t="s">
        <v>249</v>
      </c>
      <c r="C149" s="35" t="s">
        <v>282</v>
      </c>
      <c r="D149" s="12"/>
      <c r="E149" s="26" t="s">
        <v>14</v>
      </c>
      <c r="F149" s="12"/>
      <c r="G149" s="12"/>
      <c r="H149" s="33">
        <v>21</v>
      </c>
      <c r="I149" s="14" t="s">
        <v>18</v>
      </c>
    </row>
    <row r="150" spans="1:9" ht="46.8">
      <c r="A150" s="29">
        <v>2228488</v>
      </c>
      <c r="B150" s="8" t="s">
        <v>249</v>
      </c>
      <c r="C150" s="35" t="s">
        <v>283</v>
      </c>
      <c r="D150" s="12"/>
      <c r="E150" s="26" t="s">
        <v>14</v>
      </c>
      <c r="F150" s="12"/>
      <c r="G150" s="12"/>
      <c r="H150" s="33">
        <v>21</v>
      </c>
      <c r="I150" s="14" t="s">
        <v>18</v>
      </c>
    </row>
    <row r="151" spans="1:9" ht="46.8">
      <c r="A151" s="29">
        <v>2261239</v>
      </c>
      <c r="B151" s="8" t="s">
        <v>249</v>
      </c>
      <c r="C151" s="35" t="s">
        <v>284</v>
      </c>
      <c r="D151" s="12"/>
      <c r="E151" s="26" t="s">
        <v>14</v>
      </c>
      <c r="F151" s="12"/>
      <c r="G151" s="12"/>
      <c r="H151" s="33">
        <v>21</v>
      </c>
      <c r="I151" s="14" t="s">
        <v>18</v>
      </c>
    </row>
    <row r="152" spans="1:9" ht="46.8">
      <c r="A152" s="29">
        <v>2261242</v>
      </c>
      <c r="B152" s="8" t="s">
        <v>249</v>
      </c>
      <c r="C152" s="35" t="s">
        <v>285</v>
      </c>
      <c r="D152" s="12"/>
      <c r="E152" s="26" t="s">
        <v>14</v>
      </c>
      <c r="F152" s="12"/>
      <c r="G152" s="12"/>
      <c r="H152" s="33">
        <v>21</v>
      </c>
      <c r="I152" s="14" t="s">
        <v>18</v>
      </c>
    </row>
    <row r="153" spans="1:9" ht="46.8">
      <c r="A153" s="29">
        <v>2292809</v>
      </c>
      <c r="B153" s="8" t="s">
        <v>249</v>
      </c>
      <c r="C153" s="35" t="s">
        <v>286</v>
      </c>
      <c r="D153" s="12"/>
      <c r="E153" s="26" t="s">
        <v>14</v>
      </c>
      <c r="F153" s="12"/>
      <c r="G153" s="12"/>
      <c r="H153" s="33">
        <v>21</v>
      </c>
      <c r="I153" s="14" t="s">
        <v>11</v>
      </c>
    </row>
    <row r="154" spans="1:9" ht="46.8">
      <c r="A154" s="29">
        <v>2292826</v>
      </c>
      <c r="B154" s="8" t="s">
        <v>249</v>
      </c>
      <c r="C154" s="35" t="s">
        <v>287</v>
      </c>
      <c r="D154" s="12"/>
      <c r="E154" s="26" t="s">
        <v>14</v>
      </c>
      <c r="F154" s="12"/>
      <c r="G154" s="12"/>
      <c r="H154" s="33">
        <v>21</v>
      </c>
      <c r="I154" s="14" t="s">
        <v>18</v>
      </c>
    </row>
    <row r="155" spans="1:9" ht="46.8">
      <c r="A155" s="29">
        <v>2406662</v>
      </c>
      <c r="B155" s="8" t="s">
        <v>249</v>
      </c>
      <c r="C155" s="35" t="s">
        <v>288</v>
      </c>
      <c r="D155" s="12"/>
      <c r="E155" s="26" t="s">
        <v>14</v>
      </c>
      <c r="F155" s="12"/>
      <c r="G155" s="12"/>
      <c r="H155" s="33">
        <v>21</v>
      </c>
      <c r="I155" s="14" t="s">
        <v>11</v>
      </c>
    </row>
    <row r="156" spans="1:9" ht="46.8">
      <c r="A156" s="29">
        <v>2658538</v>
      </c>
      <c r="B156" s="8" t="s">
        <v>249</v>
      </c>
      <c r="C156" s="35" t="s">
        <v>289</v>
      </c>
      <c r="D156" s="12"/>
      <c r="E156" s="26" t="s">
        <v>14</v>
      </c>
      <c r="F156" s="12"/>
      <c r="G156" s="12"/>
      <c r="H156" s="33">
        <v>21</v>
      </c>
      <c r="I156" s="14" t="s">
        <v>11</v>
      </c>
    </row>
    <row r="157" spans="1:9" ht="46.8">
      <c r="A157" s="29">
        <v>2658545</v>
      </c>
      <c r="B157" s="8" t="s">
        <v>249</v>
      </c>
      <c r="C157" s="35" t="s">
        <v>290</v>
      </c>
      <c r="D157" s="12"/>
      <c r="E157" s="26" t="s">
        <v>14</v>
      </c>
      <c r="F157" s="12"/>
      <c r="G157" s="12"/>
      <c r="H157" s="33">
        <v>21</v>
      </c>
      <c r="I157" s="14" t="s">
        <v>11</v>
      </c>
    </row>
    <row r="158" spans="1:9" ht="46.8">
      <c r="A158" s="29">
        <v>2658546</v>
      </c>
      <c r="B158" s="8" t="s">
        <v>249</v>
      </c>
      <c r="C158" s="35" t="s">
        <v>291</v>
      </c>
      <c r="D158" s="12"/>
      <c r="E158" s="26" t="s">
        <v>14</v>
      </c>
      <c r="F158" s="12"/>
      <c r="G158" s="12"/>
      <c r="H158" s="33">
        <v>21</v>
      </c>
      <c r="I158" s="14" t="s">
        <v>11</v>
      </c>
    </row>
    <row r="159" spans="1:9" ht="46.8">
      <c r="A159" s="29">
        <v>3370907</v>
      </c>
      <c r="B159" s="8" t="s">
        <v>249</v>
      </c>
      <c r="C159" s="35" t="s">
        <v>292</v>
      </c>
      <c r="D159" s="12"/>
      <c r="E159" s="26" t="s">
        <v>14</v>
      </c>
      <c r="F159" s="12"/>
      <c r="G159" s="12"/>
      <c r="H159" s="33">
        <v>21</v>
      </c>
      <c r="I159" s="14" t="s">
        <v>11</v>
      </c>
    </row>
    <row r="160" spans="1:9" ht="15.6">
      <c r="A160" s="29">
        <v>3555649</v>
      </c>
      <c r="B160" s="8" t="s">
        <v>249</v>
      </c>
      <c r="C160" s="35" t="s">
        <v>293</v>
      </c>
      <c r="D160" s="12"/>
      <c r="E160" s="26" t="s">
        <v>14</v>
      </c>
      <c r="F160" s="12"/>
      <c r="G160" s="12"/>
      <c r="H160" s="33">
        <v>52</v>
      </c>
      <c r="I160" s="14" t="s">
        <v>11</v>
      </c>
    </row>
    <row r="161" spans="1:9" ht="31.2">
      <c r="A161" s="29">
        <v>4478151</v>
      </c>
      <c r="B161" s="8" t="s">
        <v>249</v>
      </c>
      <c r="C161" s="35" t="s">
        <v>294</v>
      </c>
      <c r="D161" s="12"/>
      <c r="E161" s="26" t="s">
        <v>14</v>
      </c>
      <c r="F161" s="12"/>
      <c r="G161" s="12"/>
      <c r="H161" s="33">
        <v>92</v>
      </c>
      <c r="I161" s="14" t="s">
        <v>11</v>
      </c>
    </row>
    <row r="162" spans="1:9" ht="31.2">
      <c r="A162" s="29">
        <v>4527056</v>
      </c>
      <c r="B162" s="8" t="s">
        <v>249</v>
      </c>
      <c r="C162" s="35" t="s">
        <v>295</v>
      </c>
      <c r="D162" s="12"/>
      <c r="E162" s="26" t="s">
        <v>14</v>
      </c>
      <c r="F162" s="12"/>
      <c r="G162" s="12"/>
      <c r="H162" s="33">
        <v>55</v>
      </c>
      <c r="I162" s="14" t="s">
        <v>11</v>
      </c>
    </row>
    <row r="163" spans="1:9" ht="31.2">
      <c r="A163" s="8">
        <v>4597262</v>
      </c>
      <c r="B163" s="8" t="s">
        <v>249</v>
      </c>
      <c r="C163" s="37" t="s">
        <v>296</v>
      </c>
      <c r="D163" s="12"/>
      <c r="E163" s="12"/>
      <c r="F163" s="31" t="str">
        <f>HYPERLINK("https://www.familysearch.org/search/catalog/2818908","FamilySearch.org")</f>
        <v>FamilySearch.org</v>
      </c>
      <c r="G163" s="12"/>
      <c r="H163" s="8">
        <v>21</v>
      </c>
      <c r="I163" s="7" t="s">
        <v>15</v>
      </c>
    </row>
    <row r="164" spans="1:9" ht="46.8">
      <c r="A164" s="8">
        <v>4597263</v>
      </c>
      <c r="B164" s="8" t="s">
        <v>249</v>
      </c>
      <c r="C164" s="37" t="s">
        <v>297</v>
      </c>
      <c r="D164" s="12"/>
      <c r="E164" s="12"/>
      <c r="F164" s="31" t="str">
        <f>HYPERLINK("https://www.familysearch.org/search/catalog/2818906","FamilySearch.org")</f>
        <v>FamilySearch.org</v>
      </c>
      <c r="G164" s="12"/>
      <c r="H164" s="8">
        <v>21</v>
      </c>
      <c r="I164" s="7" t="s">
        <v>15</v>
      </c>
    </row>
    <row r="165" spans="1:9" ht="31.2">
      <c r="A165" s="8">
        <v>4597264</v>
      </c>
      <c r="B165" s="8" t="s">
        <v>249</v>
      </c>
      <c r="C165" s="37" t="s">
        <v>298</v>
      </c>
      <c r="D165" s="12"/>
      <c r="E165" s="12"/>
      <c r="F165" s="31" t="str">
        <f>HYPERLINK("https://www.familysearch.org/search/catalog/2818907","FamilySearch.org")</f>
        <v>FamilySearch.org</v>
      </c>
      <c r="G165" s="12"/>
      <c r="H165" s="8">
        <v>21</v>
      </c>
      <c r="I165" s="7" t="s">
        <v>15</v>
      </c>
    </row>
    <row r="166" spans="1:9" ht="31.2">
      <c r="A166" s="29">
        <v>4693982</v>
      </c>
      <c r="B166" s="8" t="s">
        <v>249</v>
      </c>
      <c r="C166" s="35" t="s">
        <v>299</v>
      </c>
      <c r="D166" s="12"/>
      <c r="E166" s="26" t="s">
        <v>14</v>
      </c>
      <c r="F166" s="12"/>
      <c r="G166" s="12"/>
      <c r="H166" s="33">
        <v>21</v>
      </c>
      <c r="I166" s="14" t="s">
        <v>11</v>
      </c>
    </row>
    <row r="167" spans="1:9" ht="46.8">
      <c r="A167" s="29">
        <v>4693993</v>
      </c>
      <c r="B167" s="8" t="s">
        <v>249</v>
      </c>
      <c r="C167" s="35" t="s">
        <v>300</v>
      </c>
      <c r="D167" s="12"/>
      <c r="E167" s="26" t="s">
        <v>14</v>
      </c>
      <c r="F167" s="12"/>
      <c r="G167" s="12"/>
      <c r="H167" s="33">
        <v>21</v>
      </c>
      <c r="I167" s="14" t="s">
        <v>11</v>
      </c>
    </row>
    <row r="168" spans="1:9" ht="46.8">
      <c r="A168" s="8">
        <v>4734977</v>
      </c>
      <c r="B168" s="8" t="s">
        <v>249</v>
      </c>
      <c r="C168" s="35" t="s">
        <v>301</v>
      </c>
      <c r="D168" s="12"/>
      <c r="E168" s="12"/>
      <c r="F168" s="26" t="s">
        <v>43</v>
      </c>
      <c r="G168" s="12"/>
      <c r="H168" s="8">
        <v>21</v>
      </c>
      <c r="I168" s="7" t="s">
        <v>18</v>
      </c>
    </row>
    <row r="169" spans="1:9" ht="46.8">
      <c r="A169" s="8">
        <v>5682680</v>
      </c>
      <c r="B169" s="8" t="s">
        <v>249</v>
      </c>
      <c r="C169" s="37" t="s">
        <v>302</v>
      </c>
      <c r="D169" s="12"/>
      <c r="E169" s="12"/>
      <c r="F169" s="31" t="str">
        <f>HYPERLINK("https://www.familysearch.org/search/catalog/2818908","FamilySearch.org")</f>
        <v>FamilySearch.org</v>
      </c>
      <c r="G169" s="12"/>
      <c r="H169" s="8">
        <v>21</v>
      </c>
      <c r="I169" s="7" t="s">
        <v>15</v>
      </c>
    </row>
    <row r="170" spans="1:9" ht="46.8">
      <c r="A170" s="8">
        <v>5682681</v>
      </c>
      <c r="B170" s="8" t="s">
        <v>249</v>
      </c>
      <c r="C170" s="37" t="s">
        <v>303</v>
      </c>
      <c r="D170" s="12"/>
      <c r="E170" s="12"/>
      <c r="F170" s="31" t="str">
        <f>HYPERLINK("https://www.familysearch.org/search/catalog/2818906","FamilySearch.org")</f>
        <v>FamilySearch.org</v>
      </c>
      <c r="G170" s="12"/>
      <c r="H170" s="8">
        <v>21</v>
      </c>
      <c r="I170" s="7" t="s">
        <v>15</v>
      </c>
    </row>
    <row r="171" spans="1:9" ht="46.8">
      <c r="A171" s="8">
        <v>5682682</v>
      </c>
      <c r="B171" s="8" t="s">
        <v>249</v>
      </c>
      <c r="C171" s="37" t="s">
        <v>304</v>
      </c>
      <c r="D171" s="12"/>
      <c r="E171" s="12"/>
      <c r="F171" s="31" t="str">
        <f>HYPERLINK("https://www.familysearch.org/search/catalog/2818907","FamilySearch.org")</f>
        <v>FamilySearch.org</v>
      </c>
      <c r="G171" s="12"/>
      <c r="H171" s="8">
        <v>21</v>
      </c>
      <c r="I171" s="7" t="s">
        <v>15</v>
      </c>
    </row>
    <row r="172" spans="1:9" ht="46.8">
      <c r="A172" s="8">
        <v>5682683</v>
      </c>
      <c r="B172" s="8" t="s">
        <v>249</v>
      </c>
      <c r="C172" s="37" t="s">
        <v>305</v>
      </c>
      <c r="D172" s="12"/>
      <c r="E172" s="12"/>
      <c r="F172" s="31" t="str">
        <f>HYPERLINK("https://www.familysearch.org/search/catalog/2818909","FamilySearch.org")</f>
        <v>FamilySearch.org</v>
      </c>
      <c r="G172" s="12"/>
      <c r="H172" s="8">
        <v>21</v>
      </c>
      <c r="I172" s="7" t="s">
        <v>15</v>
      </c>
    </row>
    <row r="173" spans="1:9" ht="15.6">
      <c r="A173" s="29">
        <v>7226556</v>
      </c>
      <c r="B173" s="8" t="s">
        <v>249</v>
      </c>
      <c r="C173" s="35" t="s">
        <v>306</v>
      </c>
      <c r="D173" s="12"/>
      <c r="E173" s="12"/>
      <c r="F173" s="32" t="s">
        <v>43</v>
      </c>
      <c r="G173" s="12"/>
      <c r="H173" s="33">
        <v>185</v>
      </c>
      <c r="I173" s="14" t="s">
        <v>18</v>
      </c>
    </row>
    <row r="174" spans="1:9" ht="31.2">
      <c r="A174" s="29">
        <v>7820290</v>
      </c>
      <c r="B174" s="8" t="s">
        <v>249</v>
      </c>
      <c r="C174" s="35" t="s">
        <v>307</v>
      </c>
      <c r="D174" s="32" t="s">
        <v>220</v>
      </c>
      <c r="E174" s="12"/>
      <c r="F174" s="12"/>
      <c r="G174" s="12"/>
      <c r="H174" s="33">
        <v>49</v>
      </c>
      <c r="I174" s="14" t="s">
        <v>18</v>
      </c>
    </row>
    <row r="175" spans="1:9" ht="46.8">
      <c r="A175" s="29">
        <v>7820428</v>
      </c>
      <c r="B175" s="8" t="s">
        <v>249</v>
      </c>
      <c r="C175" s="35" t="s">
        <v>308</v>
      </c>
      <c r="D175" s="32" t="s">
        <v>220</v>
      </c>
      <c r="E175" s="12"/>
      <c r="F175" s="32" t="str">
        <f>HYPERLINK("https://www.familysearch.org/search/catalog/1837758","FamilySearch.org")</f>
        <v>FamilySearch.org</v>
      </c>
      <c r="G175" s="12"/>
      <c r="H175" s="33">
        <v>49</v>
      </c>
      <c r="I175" s="14" t="s">
        <v>18</v>
      </c>
    </row>
    <row r="176" spans="1:9" ht="46.8">
      <c r="A176" s="8">
        <v>23904748</v>
      </c>
      <c r="B176" s="8" t="s">
        <v>249</v>
      </c>
      <c r="C176" s="35" t="s">
        <v>309</v>
      </c>
      <c r="D176" s="12"/>
      <c r="E176" s="12"/>
      <c r="F176" s="31" t="str">
        <f t="shared" ref="F176:F183" si="2">HYPERLINK("https://www.familysearch.org/wiki/en/Alaska,_Naturalization_Records_-_FamilySearch_Historical_Records","FamilySearch.org")</f>
        <v>FamilySearch.org</v>
      </c>
      <c r="G176" s="12"/>
      <c r="H176" s="8">
        <v>21</v>
      </c>
      <c r="I176" s="7" t="s">
        <v>18</v>
      </c>
    </row>
    <row r="177" spans="1:9" ht="31.2">
      <c r="A177" s="8">
        <v>23904753</v>
      </c>
      <c r="B177" s="8" t="s">
        <v>249</v>
      </c>
      <c r="C177" s="35" t="s">
        <v>310</v>
      </c>
      <c r="D177" s="12"/>
      <c r="E177" s="12"/>
      <c r="F177" s="31" t="str">
        <f t="shared" si="2"/>
        <v>FamilySearch.org</v>
      </c>
      <c r="G177" s="12"/>
      <c r="H177" s="8">
        <v>21</v>
      </c>
      <c r="I177" s="7" t="s">
        <v>18</v>
      </c>
    </row>
    <row r="178" spans="1:9" ht="46.8">
      <c r="A178" s="8">
        <v>24200277</v>
      </c>
      <c r="B178" s="8" t="s">
        <v>249</v>
      </c>
      <c r="C178" s="37" t="s">
        <v>311</v>
      </c>
      <c r="D178" s="12"/>
      <c r="E178" s="12"/>
      <c r="F178" s="31" t="str">
        <f t="shared" si="2"/>
        <v>FamilySearch.org</v>
      </c>
      <c r="G178" s="12"/>
      <c r="H178" s="8">
        <v>21</v>
      </c>
      <c r="I178" s="7" t="s">
        <v>11</v>
      </c>
    </row>
    <row r="179" spans="1:9" ht="46.8">
      <c r="A179" s="8">
        <v>24200282</v>
      </c>
      <c r="B179" s="8" t="s">
        <v>249</v>
      </c>
      <c r="C179" s="35" t="s">
        <v>312</v>
      </c>
      <c r="D179" s="12"/>
      <c r="E179" s="12"/>
      <c r="F179" s="31" t="str">
        <f t="shared" si="2"/>
        <v>FamilySearch.org</v>
      </c>
      <c r="G179" s="12"/>
      <c r="H179" s="8">
        <v>21</v>
      </c>
      <c r="I179" s="7" t="s">
        <v>11</v>
      </c>
    </row>
    <row r="180" spans="1:9" ht="46.8">
      <c r="A180" s="8">
        <v>24485762</v>
      </c>
      <c r="B180" s="8" t="s">
        <v>249</v>
      </c>
      <c r="C180" s="35" t="s">
        <v>313</v>
      </c>
      <c r="D180" s="12"/>
      <c r="E180" s="12"/>
      <c r="F180" s="31" t="str">
        <f t="shared" si="2"/>
        <v>FamilySearch.org</v>
      </c>
      <c r="G180" s="12"/>
      <c r="H180" s="8">
        <v>21</v>
      </c>
      <c r="I180" s="7" t="s">
        <v>11</v>
      </c>
    </row>
    <row r="181" spans="1:9" ht="46.8">
      <c r="A181" s="8">
        <v>24493473</v>
      </c>
      <c r="B181" s="8" t="s">
        <v>249</v>
      </c>
      <c r="C181" s="35" t="s">
        <v>314</v>
      </c>
      <c r="D181" s="12"/>
      <c r="E181" s="12"/>
      <c r="F181" s="31" t="str">
        <f t="shared" si="2"/>
        <v>FamilySearch.org</v>
      </c>
      <c r="G181" s="12"/>
      <c r="H181" s="8">
        <v>21</v>
      </c>
      <c r="I181" s="7" t="s">
        <v>11</v>
      </c>
    </row>
    <row r="182" spans="1:9" ht="46.8">
      <c r="A182" s="8">
        <v>24720598</v>
      </c>
      <c r="B182" s="8" t="s">
        <v>249</v>
      </c>
      <c r="C182" s="35" t="s">
        <v>315</v>
      </c>
      <c r="D182" s="12"/>
      <c r="E182" s="12"/>
      <c r="F182" s="31" t="str">
        <f t="shared" si="2"/>
        <v>FamilySearch.org</v>
      </c>
      <c r="G182" s="12"/>
      <c r="H182" s="8">
        <v>21</v>
      </c>
      <c r="I182" s="7" t="s">
        <v>18</v>
      </c>
    </row>
    <row r="183" spans="1:9" ht="46.8">
      <c r="A183" s="8">
        <v>24738377</v>
      </c>
      <c r="B183" s="8" t="s">
        <v>249</v>
      </c>
      <c r="C183" s="35" t="s">
        <v>316</v>
      </c>
      <c r="D183" s="12"/>
      <c r="E183" s="12"/>
      <c r="F183" s="31" t="str">
        <f t="shared" si="2"/>
        <v>FamilySearch.org</v>
      </c>
      <c r="G183" s="12"/>
      <c r="H183" s="8">
        <v>21</v>
      </c>
      <c r="I183" s="7" t="s">
        <v>18</v>
      </c>
    </row>
    <row r="184" spans="1:9" ht="46.8">
      <c r="A184" s="25">
        <v>24200771</v>
      </c>
      <c r="B184" s="21" t="s">
        <v>249</v>
      </c>
      <c r="C184" s="38" t="s">
        <v>317</v>
      </c>
      <c r="D184" s="11"/>
      <c r="E184" s="12"/>
      <c r="F184" s="39" t="s">
        <v>43</v>
      </c>
      <c r="G184" s="12"/>
      <c r="H184" s="20">
        <v>21</v>
      </c>
      <c r="I184" s="14" t="s">
        <v>18</v>
      </c>
    </row>
    <row r="185" spans="1:9" ht="31.2">
      <c r="A185" s="40">
        <v>24329954</v>
      </c>
      <c r="B185" s="21" t="s">
        <v>249</v>
      </c>
      <c r="C185" s="35" t="s">
        <v>318</v>
      </c>
      <c r="D185" s="11"/>
      <c r="E185" s="12"/>
      <c r="F185" s="39" t="s">
        <v>43</v>
      </c>
      <c r="G185" s="12"/>
      <c r="H185" s="20">
        <v>21</v>
      </c>
      <c r="I185" s="14" t="s">
        <v>18</v>
      </c>
    </row>
    <row r="186" spans="1:9" ht="31.2">
      <c r="A186" s="40">
        <v>24329957</v>
      </c>
      <c r="B186" s="21" t="s">
        <v>249</v>
      </c>
      <c r="C186" s="35" t="s">
        <v>319</v>
      </c>
      <c r="D186" s="11"/>
      <c r="E186" s="12"/>
      <c r="F186" s="39" t="s">
        <v>43</v>
      </c>
      <c r="G186" s="12"/>
      <c r="H186" s="20">
        <v>21</v>
      </c>
      <c r="I186" s="14" t="s">
        <v>11</v>
      </c>
    </row>
    <row r="187" spans="1:9" ht="31.2">
      <c r="A187" s="40">
        <v>24330342</v>
      </c>
      <c r="B187" s="21" t="s">
        <v>249</v>
      </c>
      <c r="C187" s="35" t="s">
        <v>320</v>
      </c>
      <c r="D187" s="11"/>
      <c r="E187" s="12"/>
      <c r="F187" s="39" t="s">
        <v>43</v>
      </c>
      <c r="G187" s="12"/>
      <c r="H187" s="20">
        <v>21</v>
      </c>
      <c r="I187" s="14" t="s">
        <v>18</v>
      </c>
    </row>
    <row r="188" spans="1:9" ht="31.2">
      <c r="A188" s="40">
        <v>24470202</v>
      </c>
      <c r="B188" s="21" t="s">
        <v>249</v>
      </c>
      <c r="C188" s="35" t="s">
        <v>321</v>
      </c>
      <c r="D188" s="11"/>
      <c r="E188" s="12"/>
      <c r="F188" s="39" t="s">
        <v>43</v>
      </c>
      <c r="G188" s="12"/>
      <c r="H188" s="20">
        <v>21</v>
      </c>
      <c r="I188" s="14" t="s">
        <v>18</v>
      </c>
    </row>
    <row r="189" spans="1:9" ht="31.2">
      <c r="A189" s="7">
        <v>24493473</v>
      </c>
      <c r="B189" s="21" t="s">
        <v>249</v>
      </c>
      <c r="C189" s="35" t="s">
        <v>322</v>
      </c>
      <c r="D189" s="11"/>
      <c r="E189" s="12"/>
      <c r="F189" s="39" t="s">
        <v>43</v>
      </c>
      <c r="G189" s="12"/>
      <c r="H189" s="20">
        <v>21</v>
      </c>
      <c r="I189" s="14" t="s">
        <v>11</v>
      </c>
    </row>
    <row r="190" spans="1:9" ht="31.2">
      <c r="A190" s="25">
        <v>24493474</v>
      </c>
      <c r="B190" s="21" t="s">
        <v>249</v>
      </c>
      <c r="C190" s="35" t="s">
        <v>322</v>
      </c>
      <c r="D190" s="11"/>
      <c r="E190" s="12"/>
      <c r="F190" s="39" t="s">
        <v>43</v>
      </c>
      <c r="G190" s="12"/>
      <c r="H190" s="20">
        <v>21</v>
      </c>
      <c r="I190" s="14" t="s">
        <v>11</v>
      </c>
    </row>
    <row r="191" spans="1:9" ht="31.2">
      <c r="A191" s="25">
        <v>24493475</v>
      </c>
      <c r="B191" s="21" t="s">
        <v>249</v>
      </c>
      <c r="C191" s="35" t="s">
        <v>323</v>
      </c>
      <c r="D191" s="11"/>
      <c r="E191" s="12"/>
      <c r="F191" s="39" t="s">
        <v>43</v>
      </c>
      <c r="G191" s="12"/>
      <c r="H191" s="20">
        <v>21</v>
      </c>
      <c r="I191" s="14" t="s">
        <v>18</v>
      </c>
    </row>
    <row r="192" spans="1:9" ht="31.2">
      <c r="A192" s="25">
        <v>24493476</v>
      </c>
      <c r="B192" s="21" t="s">
        <v>249</v>
      </c>
      <c r="C192" s="35" t="s">
        <v>324</v>
      </c>
      <c r="D192" s="11"/>
      <c r="E192" s="12"/>
      <c r="F192" s="39" t="s">
        <v>43</v>
      </c>
      <c r="G192" s="12"/>
      <c r="H192" s="20">
        <v>21</v>
      </c>
      <c r="I192" s="14" t="s">
        <v>18</v>
      </c>
    </row>
    <row r="193" spans="1:9" ht="31.2">
      <c r="A193" s="25">
        <v>24493477</v>
      </c>
      <c r="B193" s="21" t="s">
        <v>249</v>
      </c>
      <c r="C193" s="35" t="s">
        <v>325</v>
      </c>
      <c r="D193" s="11"/>
      <c r="E193" s="12"/>
      <c r="F193" s="39" t="s">
        <v>43</v>
      </c>
      <c r="G193" s="12"/>
      <c r="H193" s="20">
        <v>21</v>
      </c>
      <c r="I193" s="14" t="s">
        <v>11</v>
      </c>
    </row>
    <row r="194" spans="1:9" ht="31.2">
      <c r="A194" s="7">
        <v>24738389</v>
      </c>
      <c r="B194" s="21" t="s">
        <v>249</v>
      </c>
      <c r="C194" s="35" t="s">
        <v>326</v>
      </c>
      <c r="D194" s="11"/>
      <c r="E194" s="12"/>
      <c r="F194" s="39" t="s">
        <v>43</v>
      </c>
      <c r="G194" s="12"/>
      <c r="H194" s="20">
        <v>21</v>
      </c>
      <c r="I194" s="14" t="s">
        <v>11</v>
      </c>
    </row>
    <row r="195" spans="1:9" ht="31.2">
      <c r="A195" s="25">
        <v>31491421</v>
      </c>
      <c r="B195" s="21" t="s">
        <v>249</v>
      </c>
      <c r="C195" s="35" t="s">
        <v>327</v>
      </c>
      <c r="D195" s="11"/>
      <c r="E195" s="12"/>
      <c r="F195" s="39" t="s">
        <v>43</v>
      </c>
      <c r="G195" s="12"/>
      <c r="H195" s="20">
        <v>21</v>
      </c>
      <c r="I195" s="14" t="s">
        <v>11</v>
      </c>
    </row>
    <row r="196" spans="1:9" ht="46.8">
      <c r="A196" s="7">
        <v>83422149</v>
      </c>
      <c r="B196" s="21" t="s">
        <v>249</v>
      </c>
      <c r="C196" s="35" t="s">
        <v>328</v>
      </c>
      <c r="D196" s="11"/>
      <c r="E196" s="12"/>
      <c r="F196" s="39" t="s">
        <v>43</v>
      </c>
      <c r="G196" s="12"/>
      <c r="H196" s="20">
        <v>21</v>
      </c>
      <c r="I196" s="14" t="s">
        <v>18</v>
      </c>
    </row>
    <row r="197" spans="1:9" ht="46.8">
      <c r="A197" s="7">
        <v>83740223</v>
      </c>
      <c r="B197" s="21" t="s">
        <v>249</v>
      </c>
      <c r="C197" s="35" t="s">
        <v>329</v>
      </c>
      <c r="D197" s="11"/>
      <c r="E197" s="12"/>
      <c r="F197" s="39" t="s">
        <v>43</v>
      </c>
      <c r="G197" s="12"/>
      <c r="H197" s="20">
        <v>21</v>
      </c>
      <c r="I197" s="14" t="s">
        <v>11</v>
      </c>
    </row>
    <row r="198" spans="1:9" ht="46.8">
      <c r="A198" s="7">
        <v>95115973</v>
      </c>
      <c r="B198" s="21" t="s">
        <v>249</v>
      </c>
      <c r="C198" s="35" t="s">
        <v>330</v>
      </c>
      <c r="D198" s="11"/>
      <c r="E198" s="12"/>
      <c r="F198" s="39" t="s">
        <v>43</v>
      </c>
      <c r="G198" s="12"/>
      <c r="H198" s="20">
        <v>21</v>
      </c>
      <c r="I198" s="14" t="s">
        <v>11</v>
      </c>
    </row>
    <row r="199" spans="1:9" ht="62.4">
      <c r="A199" s="25">
        <v>1251997</v>
      </c>
      <c r="B199" s="21" t="s">
        <v>249</v>
      </c>
      <c r="C199" s="35" t="s">
        <v>331</v>
      </c>
      <c r="D199" s="11"/>
      <c r="E199" s="12"/>
      <c r="F199" s="39" t="s">
        <v>43</v>
      </c>
      <c r="G199" s="12"/>
      <c r="H199" s="20">
        <v>21</v>
      </c>
      <c r="I199" s="14" t="s">
        <v>18</v>
      </c>
    </row>
    <row r="200" spans="1:9" ht="31.2">
      <c r="A200" s="41" t="s">
        <v>332</v>
      </c>
      <c r="B200" s="42" t="s">
        <v>333</v>
      </c>
      <c r="C200" s="43" t="s">
        <v>334</v>
      </c>
      <c r="D200" s="44"/>
      <c r="E200" s="45" t="s">
        <v>14</v>
      </c>
      <c r="F200" s="44"/>
      <c r="G200" s="44"/>
      <c r="H200" s="46">
        <v>29</v>
      </c>
      <c r="I200" s="47" t="s">
        <v>15</v>
      </c>
    </row>
    <row r="201" spans="1:9" ht="15.6">
      <c r="A201" s="7">
        <v>55287630</v>
      </c>
      <c r="B201" s="8" t="s">
        <v>335</v>
      </c>
      <c r="C201" s="35" t="s">
        <v>336</v>
      </c>
      <c r="D201" s="11" t="s">
        <v>220</v>
      </c>
      <c r="E201" s="12"/>
      <c r="F201" s="12"/>
      <c r="G201" s="12"/>
      <c r="H201" s="13">
        <v>15</v>
      </c>
      <c r="I201" s="14" t="s">
        <v>18</v>
      </c>
    </row>
    <row r="202" spans="1:9" ht="62.4">
      <c r="A202" s="15">
        <v>3327046</v>
      </c>
      <c r="B202" s="8" t="s">
        <v>337</v>
      </c>
      <c r="C202" s="37" t="s">
        <v>338</v>
      </c>
      <c r="D202" s="12"/>
      <c r="E202" s="11" t="str">
        <f>HYPERLINK("https://search.ancestryinstitution.com/aird/search/db.aspx?dbid=60882","Ancestry.com")</f>
        <v>Ancestry.com</v>
      </c>
      <c r="F202" s="12"/>
      <c r="G202" s="12"/>
      <c r="H202" s="13">
        <v>85</v>
      </c>
      <c r="I202" s="14" t="s">
        <v>15</v>
      </c>
    </row>
    <row r="203" spans="1:9" ht="31.2">
      <c r="A203" s="15">
        <v>1274148</v>
      </c>
      <c r="B203" s="8" t="s">
        <v>339</v>
      </c>
      <c r="C203" s="35" t="s">
        <v>340</v>
      </c>
      <c r="D203" s="12"/>
      <c r="E203" s="12"/>
      <c r="F203" s="11" t="str">
        <f>HYPERLINK("https://www.familysearch.org/search/catalog/2822782?availability=Family%20History%20Library","FamilySearch.org")</f>
        <v>FamilySearch.org</v>
      </c>
      <c r="G203" s="12"/>
      <c r="H203" s="13">
        <v>75</v>
      </c>
      <c r="I203" s="14" t="s">
        <v>11</v>
      </c>
    </row>
    <row r="204" spans="1:9" ht="62.4">
      <c r="A204" s="15">
        <v>596972</v>
      </c>
      <c r="B204" s="8" t="s">
        <v>341</v>
      </c>
      <c r="C204" s="48" t="s">
        <v>342</v>
      </c>
      <c r="D204" s="11" t="s">
        <v>220</v>
      </c>
      <c r="E204" s="12"/>
      <c r="F204" s="12"/>
      <c r="G204" s="12"/>
      <c r="H204" s="13">
        <v>242</v>
      </c>
      <c r="I204" s="23" t="s">
        <v>11</v>
      </c>
    </row>
    <row r="205" spans="1:9" ht="46.8">
      <c r="A205" s="15">
        <v>4490795</v>
      </c>
      <c r="B205" s="8" t="s">
        <v>343</v>
      </c>
      <c r="C205" s="35" t="s">
        <v>344</v>
      </c>
      <c r="D205" s="12"/>
      <c r="E205" s="18" t="s">
        <v>14</v>
      </c>
      <c r="F205" s="11" t="s">
        <v>43</v>
      </c>
      <c r="G205" s="12"/>
      <c r="H205" s="13">
        <v>85</v>
      </c>
      <c r="I205" s="23" t="s">
        <v>11</v>
      </c>
    </row>
    <row r="206" spans="1:9" ht="62.4">
      <c r="A206" s="15">
        <v>4497917</v>
      </c>
      <c r="B206" s="8" t="s">
        <v>345</v>
      </c>
      <c r="C206" s="35" t="s">
        <v>346</v>
      </c>
      <c r="D206" s="12"/>
      <c r="E206" s="12"/>
      <c r="F206" s="11" t="s">
        <v>43</v>
      </c>
      <c r="G206" s="12"/>
      <c r="H206" s="13">
        <v>85</v>
      </c>
      <c r="I206" s="23" t="s">
        <v>11</v>
      </c>
    </row>
    <row r="207" spans="1:9" ht="31.2">
      <c r="A207" s="15">
        <v>4439110</v>
      </c>
      <c r="B207" s="8" t="s">
        <v>347</v>
      </c>
      <c r="C207" s="16" t="s">
        <v>348</v>
      </c>
      <c r="D207" s="12"/>
      <c r="E207" s="18" t="s">
        <v>14</v>
      </c>
      <c r="F207" s="11" t="str">
        <f>HYPERLINK("https://www.familysearch.org/search/catalog/1176330?availability=Family%20History%20Library","FamilySearch.org")</f>
        <v>FamilySearch.org</v>
      </c>
      <c r="G207" s="12"/>
      <c r="H207" s="13">
        <v>85</v>
      </c>
      <c r="I207" s="14" t="s">
        <v>15</v>
      </c>
    </row>
    <row r="208" spans="1:9" ht="93.6">
      <c r="A208" s="15">
        <v>4489131</v>
      </c>
      <c r="B208" s="8" t="s">
        <v>349</v>
      </c>
      <c r="C208" s="35" t="s">
        <v>350</v>
      </c>
      <c r="D208" s="12"/>
      <c r="E208" s="18" t="s">
        <v>14</v>
      </c>
      <c r="F208" s="11" t="s">
        <v>43</v>
      </c>
      <c r="G208" s="12"/>
      <c r="H208" s="13">
        <v>85</v>
      </c>
      <c r="I208" s="23" t="s">
        <v>11</v>
      </c>
    </row>
    <row r="209" spans="1:9" ht="31.2">
      <c r="A209" s="15">
        <v>4489167</v>
      </c>
      <c r="B209" s="8" t="s">
        <v>351</v>
      </c>
      <c r="C209" s="16" t="s">
        <v>352</v>
      </c>
      <c r="D209" s="12"/>
      <c r="E209" s="18" t="s">
        <v>14</v>
      </c>
      <c r="F209" s="11" t="str">
        <f>HYPERLINK("https://www.familysearch.org/search/catalog/1193924?availability=Family%20History%20Library","FamilySearch.org")</f>
        <v>FamilySearch.org</v>
      </c>
      <c r="G209" s="12"/>
      <c r="H209" s="13">
        <v>85</v>
      </c>
      <c r="I209" s="14" t="s">
        <v>15</v>
      </c>
    </row>
    <row r="210" spans="1:9" ht="31.2">
      <c r="A210" s="15">
        <v>4367570</v>
      </c>
      <c r="B210" s="8" t="s">
        <v>353</v>
      </c>
      <c r="C210" s="16" t="s">
        <v>354</v>
      </c>
      <c r="D210" s="12"/>
      <c r="E210" s="18" t="s">
        <v>14</v>
      </c>
      <c r="F210" s="11" t="s">
        <v>43</v>
      </c>
      <c r="G210" s="12"/>
      <c r="H210" s="13">
        <v>85</v>
      </c>
      <c r="I210" s="14" t="s">
        <v>15</v>
      </c>
    </row>
    <row r="211" spans="1:9" ht="31.2">
      <c r="A211" s="15">
        <v>4477839</v>
      </c>
      <c r="B211" s="8" t="s">
        <v>355</v>
      </c>
      <c r="C211" s="16" t="s">
        <v>356</v>
      </c>
      <c r="D211" s="12"/>
      <c r="E211" s="18" t="s">
        <v>14</v>
      </c>
      <c r="F211" s="11" t="str">
        <f>HYPERLINK("https://www.familysearch.org/search/catalog/1193845","FamilySearch.org")</f>
        <v>FamilySearch.org</v>
      </c>
      <c r="G211" s="12"/>
      <c r="H211" s="13">
        <v>85</v>
      </c>
      <c r="I211" s="14" t="s">
        <v>15</v>
      </c>
    </row>
    <row r="212" spans="1:9" ht="62.4">
      <c r="A212" s="15">
        <v>4499532</v>
      </c>
      <c r="B212" s="8" t="s">
        <v>357</v>
      </c>
      <c r="C212" s="35" t="s">
        <v>358</v>
      </c>
      <c r="D212" s="12"/>
      <c r="E212" s="17" t="s">
        <v>14</v>
      </c>
      <c r="F212" s="11" t="s">
        <v>43</v>
      </c>
      <c r="G212" s="12"/>
      <c r="H212" s="13">
        <v>85</v>
      </c>
      <c r="I212" s="23" t="s">
        <v>11</v>
      </c>
    </row>
    <row r="213" spans="1:9" ht="62.4">
      <c r="A213" s="15">
        <v>4492402</v>
      </c>
      <c r="B213" s="8" t="s">
        <v>359</v>
      </c>
      <c r="C213" s="35" t="s">
        <v>360</v>
      </c>
      <c r="D213" s="12"/>
      <c r="E213" s="18" t="s">
        <v>14</v>
      </c>
      <c r="F213" s="12"/>
      <c r="G213" s="12"/>
      <c r="H213" s="13">
        <v>85</v>
      </c>
      <c r="I213" s="23" t="s">
        <v>11</v>
      </c>
    </row>
    <row r="214" spans="1:9" ht="62.4">
      <c r="A214" s="15">
        <v>4503310</v>
      </c>
      <c r="B214" s="8" t="s">
        <v>361</v>
      </c>
      <c r="C214" s="35" t="s">
        <v>362</v>
      </c>
      <c r="D214" s="12"/>
      <c r="E214" s="18" t="s">
        <v>14</v>
      </c>
      <c r="F214" s="11" t="str">
        <f>HYPERLINK("https://www.familysearch.org/search/catalog/2822764?availability=Family%20History%20Library","FamilySearch.org")</f>
        <v>FamilySearch.org</v>
      </c>
      <c r="G214" s="12"/>
      <c r="H214" s="13">
        <v>85</v>
      </c>
      <c r="I214" s="23" t="s">
        <v>11</v>
      </c>
    </row>
    <row r="215" spans="1:9" ht="46.8">
      <c r="A215" s="15">
        <v>821491</v>
      </c>
      <c r="B215" s="8" t="s">
        <v>363</v>
      </c>
      <c r="C215" s="16" t="s">
        <v>364</v>
      </c>
      <c r="D215" s="12"/>
      <c r="E215" s="12"/>
      <c r="F215" s="11" t="s">
        <v>43</v>
      </c>
      <c r="G215" s="12"/>
      <c r="H215" s="13">
        <v>29</v>
      </c>
      <c r="I215" s="14" t="s">
        <v>15</v>
      </c>
    </row>
    <row r="216" spans="1:9" ht="62.4">
      <c r="A216" s="15">
        <v>1552680</v>
      </c>
      <c r="B216" s="8" t="s">
        <v>365</v>
      </c>
      <c r="C216" s="35" t="s">
        <v>366</v>
      </c>
      <c r="D216" s="11" t="s">
        <v>220</v>
      </c>
      <c r="E216" s="12"/>
      <c r="F216" s="12"/>
      <c r="G216" s="12"/>
      <c r="H216" s="13">
        <v>239</v>
      </c>
      <c r="I216" s="23" t="s">
        <v>11</v>
      </c>
    </row>
    <row r="217" spans="1:9" ht="93.6">
      <c r="A217" s="15">
        <v>4477273</v>
      </c>
      <c r="B217" s="8" t="s">
        <v>367</v>
      </c>
      <c r="C217" s="35" t="s">
        <v>368</v>
      </c>
      <c r="D217" s="12"/>
      <c r="E217" s="17" t="s">
        <v>14</v>
      </c>
      <c r="F217" s="11" t="s">
        <v>43</v>
      </c>
      <c r="G217" s="12"/>
      <c r="H217" s="13">
        <v>85</v>
      </c>
      <c r="I217" s="23" t="s">
        <v>11</v>
      </c>
    </row>
    <row r="218" spans="1:9" ht="31.2">
      <c r="A218" s="15">
        <v>4372438</v>
      </c>
      <c r="B218" s="8" t="s">
        <v>369</v>
      </c>
      <c r="C218" s="16" t="s">
        <v>370</v>
      </c>
      <c r="D218" s="12"/>
      <c r="E218" s="18" t="s">
        <v>14</v>
      </c>
      <c r="F218" s="11" t="str">
        <f>HYPERLINK("https://www.familysearch.org/search/catalog/1832396","FamilySearch.org")</f>
        <v>FamilySearch.org</v>
      </c>
      <c r="G218" s="12"/>
      <c r="H218" s="13">
        <v>85</v>
      </c>
      <c r="I218" s="14" t="s">
        <v>15</v>
      </c>
    </row>
    <row r="219" spans="1:9" ht="31.2">
      <c r="A219" s="15">
        <v>1537297</v>
      </c>
      <c r="B219" s="8" t="s">
        <v>371</v>
      </c>
      <c r="C219" s="16" t="s">
        <v>372</v>
      </c>
      <c r="D219" s="11" t="s">
        <v>220</v>
      </c>
      <c r="E219" s="12"/>
      <c r="F219" s="12"/>
      <c r="G219" s="12"/>
      <c r="H219" s="13">
        <v>239</v>
      </c>
      <c r="I219" s="14" t="s">
        <v>15</v>
      </c>
    </row>
    <row r="220" spans="1:9" ht="31.2">
      <c r="A220" s="15">
        <v>4492412</v>
      </c>
      <c r="B220" s="8" t="s">
        <v>373</v>
      </c>
      <c r="C220" s="35" t="s">
        <v>374</v>
      </c>
      <c r="D220" s="12"/>
      <c r="E220" s="18" t="s">
        <v>14</v>
      </c>
      <c r="F220" s="11" t="s">
        <v>43</v>
      </c>
      <c r="G220" s="12"/>
      <c r="H220" s="13">
        <v>85</v>
      </c>
      <c r="I220" s="23" t="s">
        <v>11</v>
      </c>
    </row>
    <row r="221" spans="1:9" ht="46.8">
      <c r="A221" s="15">
        <v>4492686</v>
      </c>
      <c r="B221" s="8" t="s">
        <v>375</v>
      </c>
      <c r="C221" s="16" t="s">
        <v>376</v>
      </c>
      <c r="D221" s="12"/>
      <c r="E221" s="18" t="s">
        <v>14</v>
      </c>
      <c r="F221" s="12"/>
      <c r="G221" s="12"/>
      <c r="H221" s="13">
        <v>85</v>
      </c>
      <c r="I221" s="14" t="s">
        <v>15</v>
      </c>
    </row>
    <row r="222" spans="1:9" ht="31.2">
      <c r="A222" s="7">
        <v>49151006</v>
      </c>
      <c r="B222" s="8" t="s">
        <v>377</v>
      </c>
      <c r="C222" s="16" t="s">
        <v>378</v>
      </c>
      <c r="D222" s="12"/>
      <c r="E222" s="18" t="s">
        <v>14</v>
      </c>
      <c r="F222" s="12"/>
      <c r="G222" s="12"/>
      <c r="H222" s="13">
        <v>85</v>
      </c>
      <c r="I222" s="14" t="s">
        <v>15</v>
      </c>
    </row>
    <row r="223" spans="1:9" ht="62.4">
      <c r="A223" s="15">
        <v>1560061</v>
      </c>
      <c r="B223" s="8" t="s">
        <v>379</v>
      </c>
      <c r="C223" s="35" t="s">
        <v>380</v>
      </c>
      <c r="D223" s="11" t="s">
        <v>220</v>
      </c>
      <c r="E223" s="12"/>
      <c r="F223" s="12"/>
      <c r="G223" s="12"/>
      <c r="H223" s="13">
        <v>260</v>
      </c>
      <c r="I223" s="23" t="s">
        <v>11</v>
      </c>
    </row>
    <row r="224" spans="1:9" ht="31.2">
      <c r="A224" s="15">
        <v>4504610</v>
      </c>
      <c r="B224" s="8" t="s">
        <v>381</v>
      </c>
      <c r="C224" s="35" t="s">
        <v>382</v>
      </c>
      <c r="D224" s="12"/>
      <c r="E224" s="17" t="s">
        <v>14</v>
      </c>
      <c r="F224" s="11" t="s">
        <v>43</v>
      </c>
      <c r="G224" s="12"/>
      <c r="H224" s="13">
        <v>85</v>
      </c>
      <c r="I224" s="23" t="s">
        <v>11</v>
      </c>
    </row>
    <row r="225" spans="1:9" ht="46.8">
      <c r="A225" s="15">
        <v>4492534</v>
      </c>
      <c r="B225" s="8" t="s">
        <v>383</v>
      </c>
      <c r="C225" s="35" t="s">
        <v>384</v>
      </c>
      <c r="D225" s="12"/>
      <c r="E225" s="18" t="s">
        <v>14</v>
      </c>
      <c r="F225" s="11" t="str">
        <f>HYPERLINK("https://www.familysearch.org/search/catalog/2038112?availability=Family%20History%20Library","FamilySearch.org")</f>
        <v>FamilySearch.org</v>
      </c>
      <c r="G225" s="12"/>
      <c r="H225" s="13">
        <v>85</v>
      </c>
      <c r="I225" s="23" t="s">
        <v>11</v>
      </c>
    </row>
    <row r="226" spans="1:9" ht="46.8">
      <c r="A226" s="15">
        <v>4372464</v>
      </c>
      <c r="B226" s="8" t="s">
        <v>385</v>
      </c>
      <c r="C226" s="35" t="s">
        <v>386</v>
      </c>
      <c r="D226" s="12"/>
      <c r="E226" s="18" t="s">
        <v>14</v>
      </c>
      <c r="F226" s="11" t="str">
        <f>HYPERLINK("https://www.familysearch.org/search/catalog/2421845","FamilySearch.org")</f>
        <v>FamilySearch.org</v>
      </c>
      <c r="G226" s="12"/>
      <c r="H226" s="13">
        <v>85</v>
      </c>
      <c r="I226" s="23" t="s">
        <v>11</v>
      </c>
    </row>
    <row r="227" spans="1:9" ht="31.2">
      <c r="A227" s="15">
        <v>4477235</v>
      </c>
      <c r="B227" s="8" t="s">
        <v>387</v>
      </c>
      <c r="C227" s="35" t="s">
        <v>388</v>
      </c>
      <c r="D227" s="12"/>
      <c r="E227" s="17" t="s">
        <v>14</v>
      </c>
      <c r="F227" s="11" t="s">
        <v>43</v>
      </c>
      <c r="G227" s="12"/>
      <c r="H227" s="13">
        <v>85</v>
      </c>
      <c r="I227" s="23" t="s">
        <v>11</v>
      </c>
    </row>
    <row r="228" spans="1:9" ht="46.8">
      <c r="A228" s="15">
        <v>4492651</v>
      </c>
      <c r="B228" s="8" t="s">
        <v>389</v>
      </c>
      <c r="C228" s="35" t="s">
        <v>390</v>
      </c>
      <c r="D228" s="12"/>
      <c r="E228" s="18" t="s">
        <v>14</v>
      </c>
      <c r="F228" s="12"/>
      <c r="G228" s="12"/>
      <c r="H228" s="13">
        <v>85</v>
      </c>
      <c r="I228" s="23" t="s">
        <v>11</v>
      </c>
    </row>
    <row r="229" spans="1:9" ht="31.2">
      <c r="A229" s="15">
        <v>4492653</v>
      </c>
      <c r="B229" s="8" t="s">
        <v>391</v>
      </c>
      <c r="C229" s="16" t="s">
        <v>392</v>
      </c>
      <c r="D229" s="12"/>
      <c r="E229" s="18" t="s">
        <v>14</v>
      </c>
      <c r="F229" s="12"/>
      <c r="G229" s="12"/>
      <c r="H229" s="13">
        <v>85</v>
      </c>
      <c r="I229" s="14" t="s">
        <v>15</v>
      </c>
    </row>
    <row r="230" spans="1:9" ht="46.8">
      <c r="A230" s="15">
        <v>4492680</v>
      </c>
      <c r="B230" s="8" t="s">
        <v>393</v>
      </c>
      <c r="C230" s="16" t="s">
        <v>394</v>
      </c>
      <c r="D230" s="12"/>
      <c r="E230" s="18" t="s">
        <v>14</v>
      </c>
      <c r="F230" s="12"/>
      <c r="G230" s="12"/>
      <c r="H230" s="13">
        <v>85</v>
      </c>
      <c r="I230" s="14" t="s">
        <v>15</v>
      </c>
    </row>
    <row r="231" spans="1:9" ht="46.8">
      <c r="A231" s="15">
        <v>4492718</v>
      </c>
      <c r="B231" s="8" t="s">
        <v>395</v>
      </c>
      <c r="C231" s="35" t="s">
        <v>396</v>
      </c>
      <c r="D231" s="12"/>
      <c r="E231" s="11" t="str">
        <f>HYPERLINK("https://www.ancestry.com/search/collections/2138/","Ancestry.com")</f>
        <v>Ancestry.com</v>
      </c>
      <c r="F231" s="11" t="s">
        <v>43</v>
      </c>
      <c r="G231" s="12"/>
      <c r="H231" s="13">
        <v>85</v>
      </c>
      <c r="I231" s="23" t="s">
        <v>11</v>
      </c>
    </row>
    <row r="232" spans="1:9" ht="62.4">
      <c r="A232" s="15">
        <v>4492735</v>
      </c>
      <c r="B232" s="8" t="s">
        <v>397</v>
      </c>
      <c r="C232" s="35" t="s">
        <v>398</v>
      </c>
      <c r="D232" s="12"/>
      <c r="E232" s="18" t="s">
        <v>14</v>
      </c>
      <c r="F232" s="11" t="str">
        <f>HYPERLINK("https://www.familysearch.org/search/catalog/2443340?availability=Family%20History%20Library","FamilySearch.org")</f>
        <v>FamilySearch.org</v>
      </c>
      <c r="G232" s="12"/>
      <c r="H232" s="13">
        <v>85</v>
      </c>
      <c r="I232" s="23" t="s">
        <v>11</v>
      </c>
    </row>
    <row r="233" spans="1:9" ht="46.8">
      <c r="A233" s="15">
        <v>4492740</v>
      </c>
      <c r="B233" s="8" t="s">
        <v>399</v>
      </c>
      <c r="C233" s="35" t="s">
        <v>400</v>
      </c>
      <c r="D233" s="12"/>
      <c r="E233" s="18" t="s">
        <v>14</v>
      </c>
      <c r="F233" s="11" t="str">
        <f>HYPERLINK("https://www.familysearch.org/search/catalog/2822774?availability=Family%20History%20Library","FamilySearch.org")</f>
        <v>FamilySearch.org</v>
      </c>
      <c r="G233" s="12"/>
      <c r="H233" s="13">
        <v>85</v>
      </c>
      <c r="I233" s="23" t="s">
        <v>11</v>
      </c>
    </row>
    <row r="234" spans="1:9" ht="31.2">
      <c r="A234" s="15">
        <v>4492476</v>
      </c>
      <c r="B234" s="8" t="s">
        <v>401</v>
      </c>
      <c r="C234" s="35" t="s">
        <v>402</v>
      </c>
      <c r="D234" s="12"/>
      <c r="E234" s="18" t="s">
        <v>14</v>
      </c>
      <c r="F234" s="11" t="str">
        <f>HYPERLINK("https://www.familysearch.org/search/catalog/2822785?availability=Family%20History%20Library","FamilySearch.org")</f>
        <v>FamilySearch.org</v>
      </c>
      <c r="G234" s="12"/>
      <c r="H234" s="13">
        <v>85</v>
      </c>
      <c r="I234" s="23" t="s">
        <v>11</v>
      </c>
    </row>
    <row r="235" spans="1:9" ht="78">
      <c r="A235" s="15">
        <v>4492754</v>
      </c>
      <c r="B235" s="8" t="s">
        <v>403</v>
      </c>
      <c r="C235" s="35" t="s">
        <v>404</v>
      </c>
      <c r="D235" s="12"/>
      <c r="E235" s="18" t="s">
        <v>14</v>
      </c>
      <c r="F235" s="11" t="str">
        <f>HYPERLINK("https://www.familysearch.org/search/catalog/3160704?availability=Family%20History%20Library","FamilySearch.org")</f>
        <v>FamilySearch.org</v>
      </c>
      <c r="G235" s="12"/>
      <c r="H235" s="13">
        <v>85</v>
      </c>
      <c r="I235" s="23" t="s">
        <v>11</v>
      </c>
    </row>
    <row r="236" spans="1:9" ht="31.2">
      <c r="A236" s="15">
        <v>4492838</v>
      </c>
      <c r="B236" s="8" t="s">
        <v>405</v>
      </c>
      <c r="C236" s="35" t="s">
        <v>406</v>
      </c>
      <c r="D236" s="12"/>
      <c r="E236" s="17" t="s">
        <v>14</v>
      </c>
      <c r="F236" s="12"/>
      <c r="G236" s="12"/>
      <c r="H236" s="13">
        <v>85</v>
      </c>
      <c r="I236" s="23" t="s">
        <v>11</v>
      </c>
    </row>
    <row r="237" spans="1:9" ht="31.2">
      <c r="A237" s="15">
        <v>4492757</v>
      </c>
      <c r="B237" s="8" t="s">
        <v>407</v>
      </c>
      <c r="C237" s="49" t="str">
        <f>HYPERLINK("https://catalog.archives.gov/search?q=*:*&amp;f.ancestorNaIds=4492757&amp;sort=naIdSort%20asc","Crew Lists of Vessels Arriving at Ashtabula and Conneaut, Ohio, 1952 - 1974")</f>
        <v>Crew Lists of Vessels Arriving at Ashtabula and Conneaut, Ohio, 1952 - 1974</v>
      </c>
      <c r="D237" s="12"/>
      <c r="E237" s="12"/>
      <c r="F237" s="11" t="s">
        <v>43</v>
      </c>
      <c r="G237" s="12"/>
      <c r="H237" s="13">
        <v>85</v>
      </c>
      <c r="I237" s="23" t="s">
        <v>11</v>
      </c>
    </row>
    <row r="238" spans="1:9" ht="46.8">
      <c r="A238" s="15">
        <v>4492771</v>
      </c>
      <c r="B238" s="8" t="s">
        <v>408</v>
      </c>
      <c r="C238" s="35" t="s">
        <v>409</v>
      </c>
      <c r="D238" s="12"/>
      <c r="E238" s="12"/>
      <c r="F238" s="11" t="s">
        <v>43</v>
      </c>
      <c r="G238" s="12"/>
      <c r="H238" s="13">
        <v>85</v>
      </c>
      <c r="I238" s="23" t="s">
        <v>11</v>
      </c>
    </row>
    <row r="239" spans="1:9" ht="31.2">
      <c r="A239" s="15">
        <v>4493348</v>
      </c>
      <c r="B239" s="8" t="s">
        <v>410</v>
      </c>
      <c r="C239" s="35" t="s">
        <v>411</v>
      </c>
      <c r="D239" s="12"/>
      <c r="E239" s="17" t="s">
        <v>14</v>
      </c>
      <c r="F239" s="11" t="s">
        <v>43</v>
      </c>
      <c r="G239" s="12"/>
      <c r="H239" s="13">
        <v>85</v>
      </c>
      <c r="I239" s="23" t="s">
        <v>11</v>
      </c>
    </row>
    <row r="240" spans="1:9" ht="46.8">
      <c r="A240" s="15">
        <v>4497860</v>
      </c>
      <c r="B240" s="8" t="s">
        <v>412</v>
      </c>
      <c r="C240" s="35" t="s">
        <v>413</v>
      </c>
      <c r="D240" s="12"/>
      <c r="E240" s="18" t="s">
        <v>14</v>
      </c>
      <c r="F240" s="11" t="s">
        <v>43</v>
      </c>
      <c r="G240" s="12"/>
      <c r="H240" s="13">
        <v>85</v>
      </c>
      <c r="I240" s="23" t="s">
        <v>11</v>
      </c>
    </row>
    <row r="241" spans="1:9" ht="46.8">
      <c r="A241" s="15">
        <v>4477230</v>
      </c>
      <c r="B241" s="8" t="s">
        <v>414</v>
      </c>
      <c r="C241" s="35" t="s">
        <v>415</v>
      </c>
      <c r="D241" s="12"/>
      <c r="E241" s="12"/>
      <c r="F241" s="11" t="s">
        <v>43</v>
      </c>
      <c r="G241" s="12"/>
      <c r="H241" s="13">
        <v>85</v>
      </c>
      <c r="I241" s="23" t="s">
        <v>11</v>
      </c>
    </row>
    <row r="242" spans="1:9" ht="31.2">
      <c r="A242" s="15">
        <v>4495172</v>
      </c>
      <c r="B242" s="8" t="s">
        <v>416</v>
      </c>
      <c r="C242" s="49" t="str">
        <f>HYPERLINK("https://catalog.archives.gov/search?q=*:*&amp;f.ancestorNaIds=4495172&amp;sort=naIdSort%20asc","Index to Passengers, Not Including Filipinos, Arriving at Honolulu, Hawaii, ca. 1900-ca. 1952")</f>
        <v>Index to Passengers, Not Including Filipinos, Arriving at Honolulu, Hawaii, ca. 1900-ca. 1952</v>
      </c>
      <c r="D242" s="12"/>
      <c r="E242" s="18" t="s">
        <v>14</v>
      </c>
      <c r="F242" s="11" t="s">
        <v>43</v>
      </c>
      <c r="G242" s="12"/>
      <c r="H242" s="13">
        <v>85</v>
      </c>
      <c r="I242" s="23" t="s">
        <v>18</v>
      </c>
    </row>
    <row r="243" spans="1:9" ht="46.8">
      <c r="A243" s="15">
        <v>4495176</v>
      </c>
      <c r="B243" s="8" t="s">
        <v>417</v>
      </c>
      <c r="C243" s="35" t="s">
        <v>418</v>
      </c>
      <c r="D243" s="12"/>
      <c r="E243" s="18" t="s">
        <v>14</v>
      </c>
      <c r="F243" s="11" t="s">
        <v>43</v>
      </c>
      <c r="G243" s="12"/>
      <c r="H243" s="13">
        <v>85</v>
      </c>
      <c r="I243" s="23" t="s">
        <v>11</v>
      </c>
    </row>
    <row r="244" spans="1:9" ht="31.2">
      <c r="A244" s="15">
        <v>4497863</v>
      </c>
      <c r="B244" s="8" t="s">
        <v>419</v>
      </c>
      <c r="C244" s="16" t="s">
        <v>420</v>
      </c>
      <c r="D244" s="12"/>
      <c r="E244" s="18" t="s">
        <v>14</v>
      </c>
      <c r="F244" s="12"/>
      <c r="G244" s="12"/>
      <c r="H244" s="13">
        <v>85</v>
      </c>
      <c r="I244" s="14" t="s">
        <v>15</v>
      </c>
    </row>
    <row r="245" spans="1:9" ht="46.8">
      <c r="A245" s="15">
        <v>4497875</v>
      </c>
      <c r="B245" s="8" t="s">
        <v>421</v>
      </c>
      <c r="C245" s="35" t="s">
        <v>422</v>
      </c>
      <c r="D245" s="12"/>
      <c r="E245" s="12"/>
      <c r="F245" s="11" t="s">
        <v>43</v>
      </c>
      <c r="G245" s="12"/>
      <c r="H245" s="13">
        <v>85</v>
      </c>
      <c r="I245" s="14" t="s">
        <v>11</v>
      </c>
    </row>
    <row r="246" spans="1:9" ht="46.8">
      <c r="A246" s="15">
        <v>4497867</v>
      </c>
      <c r="B246" s="8" t="s">
        <v>423</v>
      </c>
      <c r="C246" s="35" t="s">
        <v>424</v>
      </c>
      <c r="D246" s="12"/>
      <c r="E246" s="18" t="s">
        <v>14</v>
      </c>
      <c r="F246" s="11" t="str">
        <f>HYPERLINK("https://www.familysearch.org/search/catalog/2822765?availability=Family%20History%20Library","FamilySearch.org")</f>
        <v>FamilySearch.org</v>
      </c>
      <c r="G246" s="12"/>
      <c r="H246" s="13">
        <v>85</v>
      </c>
      <c r="I246" s="23" t="s">
        <v>11</v>
      </c>
    </row>
    <row r="247" spans="1:9" ht="31.2">
      <c r="A247" s="15">
        <v>4477224</v>
      </c>
      <c r="B247" s="8" t="s">
        <v>425</v>
      </c>
      <c r="C247" s="48" t="s">
        <v>426</v>
      </c>
      <c r="D247" s="12"/>
      <c r="E247" s="17" t="s">
        <v>14</v>
      </c>
      <c r="F247" s="11" t="s">
        <v>43</v>
      </c>
      <c r="G247" s="12"/>
      <c r="H247" s="13">
        <v>85</v>
      </c>
      <c r="I247" s="23" t="s">
        <v>11</v>
      </c>
    </row>
    <row r="248" spans="1:9" ht="46.8">
      <c r="A248" s="15">
        <v>4497925</v>
      </c>
      <c r="B248" s="8" t="s">
        <v>427</v>
      </c>
      <c r="C248" s="35" t="s">
        <v>428</v>
      </c>
      <c r="D248" s="12"/>
      <c r="E248" s="18" t="s">
        <v>14</v>
      </c>
      <c r="F248" s="11" t="s">
        <v>43</v>
      </c>
      <c r="G248" s="12"/>
      <c r="H248" s="13">
        <v>85</v>
      </c>
      <c r="I248" s="23" t="s">
        <v>11</v>
      </c>
    </row>
    <row r="249" spans="1:9" ht="46.8">
      <c r="A249" s="15">
        <v>4497929</v>
      </c>
      <c r="B249" s="8" t="s">
        <v>429</v>
      </c>
      <c r="C249" s="35" t="s">
        <v>430</v>
      </c>
      <c r="D249" s="12"/>
      <c r="E249" s="12"/>
      <c r="F249" s="11" t="s">
        <v>43</v>
      </c>
      <c r="G249" s="12"/>
      <c r="H249" s="13">
        <v>85</v>
      </c>
      <c r="I249" s="14" t="s">
        <v>11</v>
      </c>
    </row>
    <row r="250" spans="1:9" ht="46.8">
      <c r="A250" s="15">
        <v>4439118</v>
      </c>
      <c r="B250" s="8" t="s">
        <v>431</v>
      </c>
      <c r="C250" s="35" t="s">
        <v>432</v>
      </c>
      <c r="D250" s="12"/>
      <c r="E250" s="18" t="s">
        <v>14</v>
      </c>
      <c r="F250" s="11" t="str">
        <f>HYPERLINK("https://www.familysearch.org/search/catalog/2822768?availability=Family%20History%20Library","FamilySearch.org")</f>
        <v>FamilySearch.org</v>
      </c>
      <c r="G250" s="12"/>
      <c r="H250" s="13">
        <v>85</v>
      </c>
      <c r="I250" s="23" t="s">
        <v>11</v>
      </c>
    </row>
    <row r="251" spans="1:9" ht="31.2">
      <c r="A251" s="7">
        <v>49276534</v>
      </c>
      <c r="B251" s="8" t="s">
        <v>433</v>
      </c>
      <c r="C251" s="35" t="s">
        <v>434</v>
      </c>
      <c r="D251" s="12"/>
      <c r="E251" s="18" t="s">
        <v>14</v>
      </c>
      <c r="F251" s="12"/>
      <c r="G251" s="12"/>
      <c r="H251" s="13">
        <v>85</v>
      </c>
      <c r="I251" s="23" t="s">
        <v>11</v>
      </c>
    </row>
    <row r="252" spans="1:9" ht="31.2">
      <c r="A252" s="15">
        <v>4497943</v>
      </c>
      <c r="B252" s="8" t="s">
        <v>435</v>
      </c>
      <c r="C252" s="35" t="s">
        <v>436</v>
      </c>
      <c r="D252" s="12"/>
      <c r="E252" s="12"/>
      <c r="F252" s="11" t="s">
        <v>43</v>
      </c>
      <c r="G252" s="12"/>
      <c r="H252" s="13">
        <v>85</v>
      </c>
      <c r="I252" s="14" t="s">
        <v>11</v>
      </c>
    </row>
    <row r="253" spans="1:9" ht="31.2">
      <c r="A253" s="15">
        <v>2574390</v>
      </c>
      <c r="B253" s="8" t="s">
        <v>437</v>
      </c>
      <c r="C253" s="35" t="s">
        <v>438</v>
      </c>
      <c r="D253" s="12"/>
      <c r="E253" s="11" t="s">
        <v>14</v>
      </c>
      <c r="F253" s="11" t="s">
        <v>43</v>
      </c>
      <c r="G253" s="12"/>
      <c r="H253" s="13">
        <v>85</v>
      </c>
      <c r="I253" s="23" t="s">
        <v>18</v>
      </c>
    </row>
    <row r="254" spans="1:9" ht="62.4">
      <c r="A254" s="15" t="s">
        <v>439</v>
      </c>
      <c r="B254" s="8" t="s">
        <v>440</v>
      </c>
      <c r="C254" s="35" t="s">
        <v>441</v>
      </c>
      <c r="D254" s="12"/>
      <c r="E254" s="18" t="s">
        <v>14</v>
      </c>
      <c r="F254" s="11" t="s">
        <v>43</v>
      </c>
      <c r="G254" s="12"/>
      <c r="H254" s="13">
        <v>85</v>
      </c>
      <c r="I254" s="23" t="s">
        <v>11</v>
      </c>
    </row>
    <row r="255" spans="1:9" ht="31.2">
      <c r="A255" s="15">
        <v>4492697</v>
      </c>
      <c r="B255" s="8" t="s">
        <v>442</v>
      </c>
      <c r="C255" s="16" t="s">
        <v>443</v>
      </c>
      <c r="D255" s="12"/>
      <c r="E255" s="12"/>
      <c r="F255" s="11" t="s">
        <v>43</v>
      </c>
      <c r="G255" s="12"/>
      <c r="H255" s="13">
        <v>85</v>
      </c>
      <c r="I255" s="14" t="s">
        <v>15</v>
      </c>
    </row>
    <row r="256" spans="1:9" ht="46.8">
      <c r="A256" s="15">
        <v>4499005</v>
      </c>
      <c r="B256" s="8" t="s">
        <v>444</v>
      </c>
      <c r="C256" s="35" t="s">
        <v>445</v>
      </c>
      <c r="D256" s="12"/>
      <c r="E256" s="18" t="s">
        <v>14</v>
      </c>
      <c r="F256" s="11" t="str">
        <f>HYPERLINK("https://www.familysearch.org/search/catalog/2822779?availability=Family%20History%20Library","FamilySearch.org")</f>
        <v>FamilySearch.org</v>
      </c>
      <c r="G256" s="12"/>
      <c r="H256" s="13">
        <v>85</v>
      </c>
      <c r="I256" s="23" t="s">
        <v>11</v>
      </c>
    </row>
    <row r="257" spans="1:9" ht="46.8">
      <c r="A257" s="15">
        <v>4441521</v>
      </c>
      <c r="B257" s="8" t="s">
        <v>446</v>
      </c>
      <c r="C257" s="16" t="s">
        <v>447</v>
      </c>
      <c r="D257" s="12"/>
      <c r="E257" s="18" t="s">
        <v>14</v>
      </c>
      <c r="F257" s="12"/>
      <c r="G257" s="12"/>
      <c r="H257" s="13">
        <v>85</v>
      </c>
      <c r="I257" s="14" t="s">
        <v>15</v>
      </c>
    </row>
    <row r="258" spans="1:9" ht="31.2">
      <c r="A258" s="15">
        <v>4499046</v>
      </c>
      <c r="B258" s="8" t="s">
        <v>448</v>
      </c>
      <c r="C258" s="35" t="s">
        <v>449</v>
      </c>
      <c r="D258" s="12"/>
      <c r="E258" s="18" t="s">
        <v>14</v>
      </c>
      <c r="F258" s="11" t="str">
        <f>HYPERLINK("https://www.familysearch.org/search/catalog/2822774?availability=Family%20History%20Library","FamilySearch.org")</f>
        <v>FamilySearch.org</v>
      </c>
      <c r="G258" s="12"/>
      <c r="H258" s="13">
        <v>85</v>
      </c>
      <c r="I258" s="23" t="s">
        <v>11</v>
      </c>
    </row>
    <row r="259" spans="1:9" ht="46.8">
      <c r="A259" s="15">
        <v>1938393</v>
      </c>
      <c r="B259" s="8" t="s">
        <v>450</v>
      </c>
      <c r="C259" s="35" t="s">
        <v>451</v>
      </c>
      <c r="D259" s="12"/>
      <c r="E259" s="11" t="s">
        <v>14</v>
      </c>
      <c r="F259" s="11" t="str">
        <f>HYPERLINK("https://www.familysearch.org/search/catalog/3160697?availability=Family%20History%20Library","FamilySearch.org")</f>
        <v>FamilySearch.org</v>
      </c>
      <c r="G259" s="12"/>
      <c r="H259" s="13">
        <v>85</v>
      </c>
      <c r="I259" s="23" t="s">
        <v>11</v>
      </c>
    </row>
    <row r="260" spans="1:9" ht="46.8">
      <c r="A260" s="15">
        <v>4477215</v>
      </c>
      <c r="B260" s="8" t="s">
        <v>452</v>
      </c>
      <c r="C260" s="35" t="s">
        <v>453</v>
      </c>
      <c r="D260" s="12"/>
      <c r="E260" s="18" t="s">
        <v>14</v>
      </c>
      <c r="F260" s="11" t="s">
        <v>43</v>
      </c>
      <c r="G260" s="12"/>
      <c r="H260" s="13">
        <v>85</v>
      </c>
      <c r="I260" s="14" t="s">
        <v>11</v>
      </c>
    </row>
    <row r="261" spans="1:9" ht="46.8">
      <c r="A261" s="15">
        <v>4499068</v>
      </c>
      <c r="B261" s="8" t="s">
        <v>454</v>
      </c>
      <c r="C261" s="35" t="s">
        <v>455</v>
      </c>
      <c r="D261" s="12"/>
      <c r="E261" s="18" t="s">
        <v>14</v>
      </c>
      <c r="F261" s="11" t="str">
        <f>HYPERLINK("https://www.familysearch.org/search/catalog/3160699?availability=Family%20History%20Library","FamilySearch.org")</f>
        <v>FamilySearch.org</v>
      </c>
      <c r="G261" s="12"/>
      <c r="H261" s="13">
        <v>85</v>
      </c>
      <c r="I261" s="23" t="s">
        <v>11</v>
      </c>
    </row>
    <row r="262" spans="1:9" ht="62.4">
      <c r="A262" s="15">
        <v>4510120</v>
      </c>
      <c r="B262" s="8" t="s">
        <v>456</v>
      </c>
      <c r="C262" s="35" t="s">
        <v>457</v>
      </c>
      <c r="D262" s="12"/>
      <c r="E262" s="18" t="s">
        <v>14</v>
      </c>
      <c r="F262" s="11" t="s">
        <v>43</v>
      </c>
      <c r="G262" s="12"/>
      <c r="H262" s="13">
        <v>85</v>
      </c>
      <c r="I262" s="14" t="s">
        <v>11</v>
      </c>
    </row>
    <row r="263" spans="1:9" ht="46.8">
      <c r="A263" s="15">
        <v>4522431</v>
      </c>
      <c r="B263" s="8" t="s">
        <v>458</v>
      </c>
      <c r="C263" s="35" t="s">
        <v>459</v>
      </c>
      <c r="D263" s="12"/>
      <c r="E263" s="12"/>
      <c r="F263" s="11" t="s">
        <v>43</v>
      </c>
      <c r="G263" s="12"/>
      <c r="H263" s="13">
        <v>85</v>
      </c>
      <c r="I263" s="14" t="s">
        <v>11</v>
      </c>
    </row>
    <row r="264" spans="1:9" ht="46.8">
      <c r="A264" s="15">
        <v>4522821</v>
      </c>
      <c r="B264" s="8" t="s">
        <v>460</v>
      </c>
      <c r="C264" s="35" t="s">
        <v>461</v>
      </c>
      <c r="D264" s="12"/>
      <c r="E264" s="18" t="s">
        <v>14</v>
      </c>
      <c r="F264" s="11" t="str">
        <f>HYPERLINK("https://www.familysearch.org/search/catalog/3160739?availability=Family%20History%20Library","FamilySearch.org")</f>
        <v>FamilySearch.org</v>
      </c>
      <c r="G264" s="12"/>
      <c r="H264" s="13">
        <v>85</v>
      </c>
      <c r="I264" s="23" t="s">
        <v>11</v>
      </c>
    </row>
    <row r="265" spans="1:9" ht="46.8">
      <c r="A265" s="15">
        <v>4506369</v>
      </c>
      <c r="B265" s="8" t="s">
        <v>462</v>
      </c>
      <c r="C265" s="35" t="s">
        <v>463</v>
      </c>
      <c r="D265" s="12"/>
      <c r="E265" s="12"/>
      <c r="F265" s="11" t="s">
        <v>43</v>
      </c>
      <c r="G265" s="12"/>
      <c r="H265" s="13">
        <v>85</v>
      </c>
      <c r="I265" s="23" t="s">
        <v>11</v>
      </c>
    </row>
    <row r="266" spans="1:9" ht="31.2">
      <c r="A266" s="15">
        <v>4477074</v>
      </c>
      <c r="B266" s="8" t="s">
        <v>464</v>
      </c>
      <c r="C266" s="35" t="s">
        <v>465</v>
      </c>
      <c r="D266" s="12"/>
      <c r="E266" s="12"/>
      <c r="F266" s="11" t="s">
        <v>43</v>
      </c>
      <c r="G266" s="12"/>
      <c r="H266" s="13">
        <v>85</v>
      </c>
      <c r="I266" s="23" t="s">
        <v>11</v>
      </c>
    </row>
    <row r="267" spans="1:9" ht="46.8">
      <c r="A267" s="15">
        <v>3887283</v>
      </c>
      <c r="B267" s="8" t="s">
        <v>466</v>
      </c>
      <c r="C267" s="16" t="s">
        <v>467</v>
      </c>
      <c r="D267" s="12"/>
      <c r="E267" s="11" t="str">
        <f>HYPERLINK("https://search.ancestryinstitution.com/search/db.aspx?dbid=1082","Ancestry.com")</f>
        <v>Ancestry.com</v>
      </c>
      <c r="F267" s="11" t="s">
        <v>43</v>
      </c>
      <c r="G267" s="12"/>
      <c r="H267" s="13">
        <v>85</v>
      </c>
      <c r="I267" s="14" t="s">
        <v>15</v>
      </c>
    </row>
    <row r="268" spans="1:9" ht="46.8">
      <c r="A268" s="15">
        <v>4492722</v>
      </c>
      <c r="B268" s="8" t="s">
        <v>468</v>
      </c>
      <c r="C268" s="35" t="s">
        <v>469</v>
      </c>
      <c r="D268" s="12"/>
      <c r="E268" s="17" t="s">
        <v>14</v>
      </c>
      <c r="F268" s="12"/>
      <c r="G268" s="12"/>
      <c r="H268" s="13">
        <v>85</v>
      </c>
      <c r="I268" s="23" t="s">
        <v>11</v>
      </c>
    </row>
    <row r="269" spans="1:9" ht="31.2">
      <c r="A269" s="15">
        <v>4492477</v>
      </c>
      <c r="B269" s="8" t="s">
        <v>470</v>
      </c>
      <c r="C269" s="35" t="s">
        <v>471</v>
      </c>
      <c r="D269" s="12"/>
      <c r="E269" s="11" t="str">
        <f>HYPERLINK("https://search.ancestryinstitution.com/aird/search/db.aspx?dbid=1075","Ancestry.com")</f>
        <v>Ancestry.com</v>
      </c>
      <c r="F269" s="11" t="str">
        <f>HYPERLINK("https://www.familysearch.org/search/catalog/2822777?availability=Family%20History%20Library","FamilySearch.org")</f>
        <v>FamilySearch.org</v>
      </c>
      <c r="G269" s="12"/>
      <c r="H269" s="13">
        <v>85</v>
      </c>
      <c r="I269" s="23" t="s">
        <v>18</v>
      </c>
    </row>
    <row r="270" spans="1:9" ht="31.2">
      <c r="A270" s="15">
        <v>4492484</v>
      </c>
      <c r="B270" s="8" t="s">
        <v>472</v>
      </c>
      <c r="C270" s="35" t="s">
        <v>473</v>
      </c>
      <c r="D270" s="12"/>
      <c r="E270" s="18" t="s">
        <v>14</v>
      </c>
      <c r="F270" s="11" t="str">
        <f>HYPERLINK("https://www.familysearch.org/search/catalog/2822775?availability=Family%20History%20Library","FamilySearch.org")</f>
        <v>FamilySearch.org</v>
      </c>
      <c r="G270" s="12"/>
      <c r="H270" s="13">
        <v>85</v>
      </c>
      <c r="I270" s="23" t="s">
        <v>11</v>
      </c>
    </row>
    <row r="271" spans="1:9" ht="31.2">
      <c r="A271" s="15">
        <v>4492658</v>
      </c>
      <c r="B271" s="8" t="s">
        <v>474</v>
      </c>
      <c r="C271" s="35" t="s">
        <v>475</v>
      </c>
      <c r="D271" s="12"/>
      <c r="E271" s="12"/>
      <c r="F271" s="11" t="s">
        <v>43</v>
      </c>
      <c r="G271" s="12"/>
      <c r="H271" s="13">
        <v>85</v>
      </c>
      <c r="I271" s="14" t="s">
        <v>11</v>
      </c>
    </row>
    <row r="272" spans="1:9" ht="46.8">
      <c r="A272" s="15">
        <v>4525485</v>
      </c>
      <c r="B272" s="8" t="s">
        <v>476</v>
      </c>
      <c r="C272" s="35" t="s">
        <v>477</v>
      </c>
      <c r="D272" s="12"/>
      <c r="E272" s="18" t="s">
        <v>14</v>
      </c>
      <c r="F272" s="11" t="str">
        <f>HYPERLINK("https://www.familysearch.org/search/catalog/2426329","FamilySearch.org")</f>
        <v>FamilySearch.org</v>
      </c>
      <c r="G272" s="12"/>
      <c r="H272" s="13">
        <v>85</v>
      </c>
      <c r="I272" s="23" t="s">
        <v>11</v>
      </c>
    </row>
    <row r="273" spans="1:9" ht="62.4">
      <c r="A273" s="15">
        <v>4477885</v>
      </c>
      <c r="B273" s="8" t="s">
        <v>478</v>
      </c>
      <c r="C273" s="35" t="s">
        <v>479</v>
      </c>
      <c r="D273" s="12"/>
      <c r="E273" s="17" t="s">
        <v>14</v>
      </c>
      <c r="F273" s="12"/>
      <c r="G273" s="12"/>
      <c r="H273" s="13">
        <v>85</v>
      </c>
      <c r="I273" s="23" t="s">
        <v>11</v>
      </c>
    </row>
    <row r="274" spans="1:9" ht="46.8">
      <c r="A274" s="15">
        <v>4492730</v>
      </c>
      <c r="B274" s="8" t="s">
        <v>480</v>
      </c>
      <c r="C274" s="16" t="s">
        <v>481</v>
      </c>
      <c r="D274" s="12"/>
      <c r="E274" s="11" t="str">
        <f>HYPERLINK("https://search.ancestryinstitution.com/aird/search/db.aspx?dbid=1227","Ancestry.com")</f>
        <v>Ancestry.com</v>
      </c>
      <c r="F274" s="11" t="str">
        <f>HYPERLINK("https://www.familysearch.org/search/catalog/2822765?availability=Family%20History%20Library","FamilySearch.org")</f>
        <v>FamilySearch.org</v>
      </c>
      <c r="G274" s="12"/>
      <c r="H274" s="13">
        <v>85</v>
      </c>
      <c r="I274" s="14" t="s">
        <v>15</v>
      </c>
    </row>
    <row r="275" spans="1:9" ht="78">
      <c r="A275" s="15">
        <v>4525595</v>
      </c>
      <c r="B275" s="8" t="s">
        <v>482</v>
      </c>
      <c r="C275" s="35" t="s">
        <v>483</v>
      </c>
      <c r="D275" s="12"/>
      <c r="E275" s="12"/>
      <c r="F275" s="11" t="s">
        <v>43</v>
      </c>
      <c r="G275" s="12"/>
      <c r="H275" s="13">
        <v>85</v>
      </c>
      <c r="I275" s="23" t="s">
        <v>11</v>
      </c>
    </row>
    <row r="276" spans="1:9" ht="46.8">
      <c r="A276" s="15">
        <v>4526571</v>
      </c>
      <c r="B276" s="8" t="s">
        <v>484</v>
      </c>
      <c r="C276" s="35" t="s">
        <v>485</v>
      </c>
      <c r="D276" s="12"/>
      <c r="E276" s="11"/>
      <c r="F276" s="11" t="str">
        <f>HYPERLINK("https://www.familysearch.org/search/catalog/2526183?availability=Family%20History%20Library","FamilySearch.org")</f>
        <v>FamilySearch.org</v>
      </c>
      <c r="G276" s="12"/>
      <c r="H276" s="13"/>
      <c r="I276" s="23" t="s">
        <v>11</v>
      </c>
    </row>
    <row r="277" spans="1:9" ht="31.2">
      <c r="A277" s="15">
        <v>4477083</v>
      </c>
      <c r="B277" s="8" t="s">
        <v>486</v>
      </c>
      <c r="C277" s="35" t="s">
        <v>487</v>
      </c>
      <c r="D277" s="12"/>
      <c r="E277" s="17" t="s">
        <v>14</v>
      </c>
      <c r="F277" s="11" t="s">
        <v>43</v>
      </c>
      <c r="G277" s="12"/>
      <c r="H277" s="13">
        <v>85</v>
      </c>
      <c r="I277" s="23" t="s">
        <v>11</v>
      </c>
    </row>
    <row r="278" spans="1:9" ht="46.8">
      <c r="A278" s="15">
        <v>3931198</v>
      </c>
      <c r="B278" s="8" t="s">
        <v>488</v>
      </c>
      <c r="C278" s="16" t="s">
        <v>489</v>
      </c>
      <c r="D278" s="12"/>
      <c r="E278" s="18" t="s">
        <v>14</v>
      </c>
      <c r="F278" s="12"/>
      <c r="G278" s="12"/>
      <c r="H278" s="13">
        <v>85</v>
      </c>
      <c r="I278" s="14" t="s">
        <v>15</v>
      </c>
    </row>
    <row r="279" spans="1:9" ht="46.8">
      <c r="A279" s="15">
        <v>3939303</v>
      </c>
      <c r="B279" s="8" t="s">
        <v>490</v>
      </c>
      <c r="C279" s="35" t="s">
        <v>491</v>
      </c>
      <c r="D279" s="12"/>
      <c r="E279" s="17" t="s">
        <v>14</v>
      </c>
      <c r="F279" s="12"/>
      <c r="G279" s="12"/>
      <c r="H279" s="13">
        <v>85</v>
      </c>
      <c r="I279" s="23" t="s">
        <v>11</v>
      </c>
    </row>
    <row r="280" spans="1:9" ht="46.8">
      <c r="A280" s="15">
        <v>4042477</v>
      </c>
      <c r="B280" s="8" t="s">
        <v>492</v>
      </c>
      <c r="C280" s="35" t="s">
        <v>493</v>
      </c>
      <c r="D280" s="12"/>
      <c r="E280" s="17" t="s">
        <v>14</v>
      </c>
      <c r="F280" s="12"/>
      <c r="G280" s="12"/>
      <c r="H280" s="13">
        <v>85</v>
      </c>
      <c r="I280" s="23" t="s">
        <v>11</v>
      </c>
    </row>
    <row r="281" spans="1:9" ht="31.2">
      <c r="A281" s="15">
        <v>4477836</v>
      </c>
      <c r="B281" s="8" t="s">
        <v>494</v>
      </c>
      <c r="C281" s="35" t="s">
        <v>495</v>
      </c>
      <c r="D281" s="12"/>
      <c r="E281" s="12"/>
      <c r="F281" s="11" t="str">
        <f>HYPERLINK("https://www.familysearch.org/search/catalog/2526178?availability=Family%20History%20Library","FamilySearch.org")</f>
        <v>FamilySearch.org</v>
      </c>
      <c r="G281" s="12"/>
      <c r="H281" s="13">
        <v>85</v>
      </c>
      <c r="I281" s="23" t="s">
        <v>11</v>
      </c>
    </row>
    <row r="282" spans="1:9" ht="31.2">
      <c r="A282" s="15">
        <v>4644598</v>
      </c>
      <c r="B282" s="8" t="s">
        <v>496</v>
      </c>
      <c r="C282" s="35" t="s">
        <v>497</v>
      </c>
      <c r="D282" s="12"/>
      <c r="E282" s="11" t="str">
        <f>HYPERLINK("https://search.ancestryinstitution.com/aird/search/db.aspx?dbid=1082","Ancestry.com")</f>
        <v>Ancestry.com</v>
      </c>
      <c r="F282" s="11" t="str">
        <f>HYPERLINK("https://www.familysearch.org/search/catalog/2526188","FamilySearch.org")</f>
        <v>FamilySearch.org</v>
      </c>
      <c r="G282" s="12"/>
      <c r="H282" s="13">
        <v>85</v>
      </c>
      <c r="I282" s="23" t="s">
        <v>11</v>
      </c>
    </row>
    <row r="283" spans="1:9" ht="31.2">
      <c r="A283" s="15">
        <v>3955399</v>
      </c>
      <c r="B283" s="8" t="s">
        <v>498</v>
      </c>
      <c r="C283" s="48" t="s">
        <v>499</v>
      </c>
      <c r="D283" s="12"/>
      <c r="E283" s="17" t="s">
        <v>14</v>
      </c>
      <c r="F283" s="50" t="s">
        <v>43</v>
      </c>
      <c r="G283" s="12"/>
      <c r="H283" s="13">
        <v>85</v>
      </c>
      <c r="I283" s="23" t="s">
        <v>11</v>
      </c>
    </row>
    <row r="284" spans="1:9" ht="31.2">
      <c r="A284" s="15">
        <v>4039472</v>
      </c>
      <c r="B284" s="8" t="s">
        <v>500</v>
      </c>
      <c r="C284" s="48" t="s">
        <v>501</v>
      </c>
      <c r="D284" s="12"/>
      <c r="E284" s="17" t="s">
        <v>14</v>
      </c>
      <c r="F284" s="11" t="s">
        <v>43</v>
      </c>
      <c r="G284" s="12"/>
      <c r="H284" s="13">
        <v>85</v>
      </c>
      <c r="I284" s="23" t="s">
        <v>11</v>
      </c>
    </row>
    <row r="285" spans="1:9" ht="46.8">
      <c r="A285" s="15">
        <v>4051421</v>
      </c>
      <c r="B285" s="8" t="s">
        <v>502</v>
      </c>
      <c r="C285" s="48" t="s">
        <v>503</v>
      </c>
      <c r="D285" s="12"/>
      <c r="E285" s="17" t="s">
        <v>14</v>
      </c>
      <c r="F285" s="11" t="str">
        <f>HYPERLINK("https://www.familysearch.org/search/catalog/3160706?availability=Family%20History%20Library","FamilySearch.org")</f>
        <v>FamilySearch.org</v>
      </c>
      <c r="G285" s="12"/>
      <c r="H285" s="13">
        <v>85</v>
      </c>
      <c r="I285" s="23" t="s">
        <v>11</v>
      </c>
    </row>
    <row r="286" spans="1:9" ht="31.2">
      <c r="A286" s="15">
        <v>3997688</v>
      </c>
      <c r="B286" s="8" t="s">
        <v>504</v>
      </c>
      <c r="C286" s="35" t="s">
        <v>505</v>
      </c>
      <c r="D286" s="12"/>
      <c r="E286" s="12"/>
      <c r="F286" s="11" t="s">
        <v>43</v>
      </c>
      <c r="G286" s="12"/>
      <c r="H286" s="13">
        <v>85</v>
      </c>
      <c r="I286" s="23" t="s">
        <v>11</v>
      </c>
    </row>
    <row r="287" spans="1:9" ht="31.2">
      <c r="A287" s="15">
        <v>4477073</v>
      </c>
      <c r="B287" s="8" t="s">
        <v>506</v>
      </c>
      <c r="C287" s="35" t="s">
        <v>507</v>
      </c>
      <c r="D287" s="12"/>
      <c r="E287" s="17" t="s">
        <v>14</v>
      </c>
      <c r="F287" s="11" t="s">
        <v>43</v>
      </c>
      <c r="G287" s="12"/>
      <c r="H287" s="13">
        <v>85</v>
      </c>
      <c r="I287" s="23" t="s">
        <v>11</v>
      </c>
    </row>
    <row r="288" spans="1:9" ht="78">
      <c r="A288" s="15">
        <v>3887372</v>
      </c>
      <c r="B288" s="8" t="s">
        <v>508</v>
      </c>
      <c r="C288" s="35" t="s">
        <v>509</v>
      </c>
      <c r="D288" s="12"/>
      <c r="E288" s="18" t="s">
        <v>14</v>
      </c>
      <c r="F288" s="11" t="s">
        <v>43</v>
      </c>
      <c r="G288" s="12"/>
      <c r="H288" s="13">
        <v>85</v>
      </c>
      <c r="I288" s="23" t="s">
        <v>11</v>
      </c>
    </row>
    <row r="289" spans="1:9" ht="31.2">
      <c r="A289" s="15">
        <v>3931215</v>
      </c>
      <c r="B289" s="8" t="s">
        <v>510</v>
      </c>
      <c r="C289" s="48" t="s">
        <v>511</v>
      </c>
      <c r="D289" s="12"/>
      <c r="E289" s="17" t="s">
        <v>14</v>
      </c>
      <c r="F289" s="11" t="str">
        <f>HYPERLINK("https://www.familysearch.org/search/catalog/2526185?availability=Family%20History%20Library","FamilySearch.org")</f>
        <v>FamilySearch.org</v>
      </c>
      <c r="G289" s="12"/>
      <c r="H289" s="13">
        <v>85</v>
      </c>
      <c r="I289" s="23" t="s">
        <v>11</v>
      </c>
    </row>
    <row r="290" spans="1:9" ht="46.8">
      <c r="A290" s="15">
        <v>3929766</v>
      </c>
      <c r="B290" s="8" t="s">
        <v>512</v>
      </c>
      <c r="C290" s="49" t="s">
        <v>513</v>
      </c>
      <c r="D290" s="12"/>
      <c r="E290" s="17" t="s">
        <v>14</v>
      </c>
      <c r="F290" s="11" t="str">
        <f>HYPERLINK("https://www.familysearch.org/search/catalog/3160690?availability=Family%20History%20Library","FamilySearch.org")</f>
        <v>FamilySearch.org</v>
      </c>
      <c r="G290" s="12"/>
      <c r="H290" s="13">
        <v>85</v>
      </c>
      <c r="I290" s="23" t="s">
        <v>11</v>
      </c>
    </row>
    <row r="291" spans="1:9" ht="31.2">
      <c r="A291" s="15">
        <v>4492725</v>
      </c>
      <c r="B291" s="8" t="s">
        <v>514</v>
      </c>
      <c r="C291" s="35" t="s">
        <v>515</v>
      </c>
      <c r="D291" s="12"/>
      <c r="E291" s="12"/>
      <c r="F291" s="11" t="s">
        <v>43</v>
      </c>
      <c r="G291" s="12"/>
      <c r="H291" s="13">
        <v>85</v>
      </c>
      <c r="I291" s="23" t="s">
        <v>11</v>
      </c>
    </row>
    <row r="292" spans="1:9" ht="31.2">
      <c r="A292" s="15">
        <v>3997693</v>
      </c>
      <c r="B292" s="8" t="s">
        <v>516</v>
      </c>
      <c r="C292" s="35" t="s">
        <v>517</v>
      </c>
      <c r="D292" s="12"/>
      <c r="E292" s="18" t="s">
        <v>14</v>
      </c>
      <c r="F292" s="11" t="str">
        <f>HYPERLINK("https://www.familysearch.org/search/catalog/3160698?availability=Family%20History%20Library","FamilySearch.org")</f>
        <v>FamilySearch.org</v>
      </c>
      <c r="G292" s="12"/>
      <c r="H292" s="13">
        <v>85</v>
      </c>
      <c r="I292" s="23" t="s">
        <v>11</v>
      </c>
    </row>
    <row r="293" spans="1:9" ht="31.2">
      <c r="A293" s="15">
        <v>4644669</v>
      </c>
      <c r="B293" s="8" t="s">
        <v>518</v>
      </c>
      <c r="C293" s="49" t="s">
        <v>519</v>
      </c>
      <c r="D293" s="12"/>
      <c r="E293" s="17" t="s">
        <v>14</v>
      </c>
      <c r="F293" s="11" t="str">
        <f>HYPERLINK("https://www.familysearch.org/search/catalog/2526169?availability=Family%20History%20Library","FamilySearch.org")</f>
        <v>FamilySearch.org</v>
      </c>
      <c r="G293" s="12"/>
      <c r="H293" s="13">
        <v>85</v>
      </c>
      <c r="I293" s="23" t="s">
        <v>11</v>
      </c>
    </row>
    <row r="294" spans="1:9" ht="78">
      <c r="A294" s="15">
        <v>4051444</v>
      </c>
      <c r="B294" s="8" t="s">
        <v>520</v>
      </c>
      <c r="C294" s="35" t="s">
        <v>521</v>
      </c>
      <c r="D294" s="12"/>
      <c r="E294" s="17" t="s">
        <v>14</v>
      </c>
      <c r="F294" s="11" t="s">
        <v>43</v>
      </c>
      <c r="G294" s="12"/>
      <c r="H294" s="13">
        <v>85</v>
      </c>
      <c r="I294" s="23" t="s">
        <v>11</v>
      </c>
    </row>
    <row r="295" spans="1:9" ht="46.8">
      <c r="A295" s="7">
        <v>55287615</v>
      </c>
      <c r="B295" s="8" t="s">
        <v>522</v>
      </c>
      <c r="C295" s="16" t="s">
        <v>523</v>
      </c>
      <c r="D295" s="12"/>
      <c r="E295" s="18" t="s">
        <v>14</v>
      </c>
      <c r="F295" s="12"/>
      <c r="G295" s="12"/>
      <c r="H295" s="13">
        <v>29</v>
      </c>
      <c r="I295" s="14" t="s">
        <v>15</v>
      </c>
    </row>
    <row r="296" spans="1:9" ht="46.8">
      <c r="A296" s="15">
        <v>3902175</v>
      </c>
      <c r="B296" s="8" t="s">
        <v>524</v>
      </c>
      <c r="C296" s="35" t="s">
        <v>525</v>
      </c>
      <c r="D296" s="12"/>
      <c r="E296" s="12"/>
      <c r="F296" s="11" t="s">
        <v>43</v>
      </c>
      <c r="G296" s="12"/>
      <c r="H296" s="13">
        <v>85</v>
      </c>
      <c r="I296" s="23" t="s">
        <v>11</v>
      </c>
    </row>
    <row r="297" spans="1:9" ht="31.2">
      <c r="A297" s="15">
        <v>3933476</v>
      </c>
      <c r="B297" s="8" t="s">
        <v>526</v>
      </c>
      <c r="C297" s="48" t="s">
        <v>527</v>
      </c>
      <c r="D297" s="12"/>
      <c r="E297" s="17" t="s">
        <v>14</v>
      </c>
      <c r="F297" s="11" t="str">
        <f>HYPERLINK("https://www.familysearch.org/search/catalog/2442742?availability=Family%20History%20Library","FamilySearch.org")</f>
        <v>FamilySearch.org</v>
      </c>
      <c r="G297" s="12"/>
      <c r="H297" s="13">
        <v>85</v>
      </c>
      <c r="I297" s="23" t="s">
        <v>11</v>
      </c>
    </row>
    <row r="298" spans="1:9" ht="46.8">
      <c r="A298" s="15">
        <v>3950379</v>
      </c>
      <c r="B298" s="8" t="s">
        <v>528</v>
      </c>
      <c r="C298" s="49" t="str">
        <f>HYPERLINK("https://catalog.archives.gov/search?q=a3472&amp;f.ancestorNaIds=3950379","Passenger Lists, 1929-1954, and Crew Lists, 1941-1954, of Airplanes Arriving at San Diego, California")</f>
        <v>Passenger Lists, 1929-1954, and Crew Lists, 1941-1954, of Airplanes Arriving at San Diego, California</v>
      </c>
      <c r="D298" s="12"/>
      <c r="E298" s="18" t="s">
        <v>14</v>
      </c>
      <c r="F298" s="11" t="s">
        <v>43</v>
      </c>
      <c r="G298" s="12"/>
      <c r="H298" s="13">
        <v>85</v>
      </c>
      <c r="I298" s="23" t="s">
        <v>11</v>
      </c>
    </row>
    <row r="299" spans="1:9" ht="31.2">
      <c r="A299" s="15">
        <v>4005566</v>
      </c>
      <c r="B299" s="8" t="s">
        <v>529</v>
      </c>
      <c r="C299" s="35" t="s">
        <v>530</v>
      </c>
      <c r="D299" s="12"/>
      <c r="E299" s="12"/>
      <c r="F299" s="11" t="str">
        <f>HYPERLINK("https://familysearch.org/search/collection/2438215","FamilySearch.org")</f>
        <v>FamilySearch.org</v>
      </c>
      <c r="G299" s="12"/>
      <c r="H299" s="13">
        <v>85</v>
      </c>
      <c r="I299" s="23" t="s">
        <v>11</v>
      </c>
    </row>
    <row r="300" spans="1:9" ht="31.2">
      <c r="A300" s="15">
        <v>4655422</v>
      </c>
      <c r="B300" s="8" t="s">
        <v>531</v>
      </c>
      <c r="C300" s="35" t="s">
        <v>532</v>
      </c>
      <c r="D300" s="12"/>
      <c r="E300" s="17" t="s">
        <v>14</v>
      </c>
      <c r="F300" s="11" t="str">
        <f>HYPERLINK("https://www.familysearch.org/search/catalog/3160730?availability=Family%20History%20Library","FamilySearch.org")</f>
        <v>FamilySearch.org</v>
      </c>
      <c r="G300" s="12"/>
      <c r="H300" s="13">
        <v>85</v>
      </c>
      <c r="I300" s="23" t="s">
        <v>11</v>
      </c>
    </row>
    <row r="301" spans="1:9" ht="31.2">
      <c r="A301" s="15">
        <v>3965505</v>
      </c>
      <c r="B301" s="8" t="s">
        <v>533</v>
      </c>
      <c r="C301" s="37" t="s">
        <v>534</v>
      </c>
      <c r="D301" s="12"/>
      <c r="E301" s="28" t="str">
        <f>HYPERLINK("https://www.ancestry.com/search/collections/philadelphiapl/","Ancestry.com")</f>
        <v>Ancestry.com</v>
      </c>
      <c r="F301" s="12"/>
      <c r="G301" s="12"/>
      <c r="H301" s="13">
        <v>85</v>
      </c>
      <c r="I301" s="14" t="s">
        <v>15</v>
      </c>
    </row>
    <row r="302" spans="1:9" ht="78">
      <c r="A302" s="15">
        <v>3968747</v>
      </c>
      <c r="B302" s="8" t="s">
        <v>535</v>
      </c>
      <c r="C302" s="35" t="s">
        <v>536</v>
      </c>
      <c r="D302" s="12"/>
      <c r="E302" s="11" t="str">
        <f>HYPERLINK("https://search.ancestryinstitution.com/aird/search/db.aspx?dbid=1075","Ancestry.com")</f>
        <v>Ancestry.com</v>
      </c>
      <c r="F302" s="12"/>
      <c r="G302" s="12"/>
      <c r="H302" s="13">
        <v>85</v>
      </c>
      <c r="I302" s="23" t="s">
        <v>11</v>
      </c>
    </row>
    <row r="303" spans="1:9" ht="31.2">
      <c r="A303" s="15">
        <v>4644676</v>
      </c>
      <c r="B303" s="8" t="s">
        <v>537</v>
      </c>
      <c r="C303" s="35" t="s">
        <v>538</v>
      </c>
      <c r="D303" s="12"/>
      <c r="E303" s="17" t="s">
        <v>14</v>
      </c>
      <c r="F303" s="11" t="s">
        <v>43</v>
      </c>
      <c r="G303" s="12"/>
      <c r="H303" s="13">
        <v>85</v>
      </c>
      <c r="I303" s="23" t="s">
        <v>11</v>
      </c>
    </row>
    <row r="304" spans="1:9" ht="62.4">
      <c r="A304" s="15">
        <v>3997649</v>
      </c>
      <c r="B304" s="8" t="s">
        <v>539</v>
      </c>
      <c r="C304" s="49" t="str">
        <f>HYPERLINK("https://catalog.archives.gov/search?q=*:*&amp;f.ancestorNaIds=3997649&amp;sort=naIdSort%20asc","Alien Certificates Issued to Aliens Pre-Examined at Winnipeg, Manitoba, Prior to Admission at the U.S.-Canada Border, 1922 - 1929")</f>
        <v>Alien Certificates Issued to Aliens Pre-Examined at Winnipeg, Manitoba, Prior to Admission at the U.S.-Canada Border, 1922 - 1929</v>
      </c>
      <c r="D304" s="12"/>
      <c r="E304" s="11" t="str">
        <f>HYPERLINK("https://search.ancestryinstitution.com/aird/search/db.aspx?dbid=1075","Ancestry.com")</f>
        <v>Ancestry.com</v>
      </c>
      <c r="F304" s="11"/>
      <c r="G304" s="12"/>
      <c r="H304" s="13">
        <v>85</v>
      </c>
      <c r="I304" s="23" t="s">
        <v>11</v>
      </c>
    </row>
    <row r="305" spans="1:9" ht="46.8">
      <c r="A305" s="15">
        <v>4051458</v>
      </c>
      <c r="B305" s="8" t="s">
        <v>540</v>
      </c>
      <c r="C305" s="35" t="s">
        <v>541</v>
      </c>
      <c r="D305" s="12"/>
      <c r="E305" s="18" t="s">
        <v>14</v>
      </c>
      <c r="F305" s="11" t="s">
        <v>43</v>
      </c>
      <c r="G305" s="12"/>
      <c r="H305" s="13">
        <v>85</v>
      </c>
      <c r="I305" s="23" t="s">
        <v>11</v>
      </c>
    </row>
    <row r="306" spans="1:9" ht="31.2">
      <c r="A306" s="15">
        <v>4492662</v>
      </c>
      <c r="B306" s="8" t="s">
        <v>542</v>
      </c>
      <c r="C306" s="35" t="s">
        <v>543</v>
      </c>
      <c r="D306" s="12"/>
      <c r="E306" s="17" t="s">
        <v>14</v>
      </c>
      <c r="F306" s="12"/>
      <c r="G306" s="12"/>
      <c r="H306" s="13">
        <v>85</v>
      </c>
      <c r="I306" s="23" t="s">
        <v>11</v>
      </c>
    </row>
    <row r="307" spans="1:9" ht="78">
      <c r="A307" s="15">
        <v>2848439</v>
      </c>
      <c r="B307" s="8" t="s">
        <v>544</v>
      </c>
      <c r="C307" s="35" t="s">
        <v>545</v>
      </c>
      <c r="D307" s="12"/>
      <c r="E307" s="12"/>
      <c r="F307" s="11" t="s">
        <v>43</v>
      </c>
      <c r="G307" s="12"/>
      <c r="H307" s="13">
        <v>85</v>
      </c>
      <c r="I307" s="23" t="s">
        <v>11</v>
      </c>
    </row>
    <row r="308" spans="1:9" ht="31.2">
      <c r="A308" s="15">
        <v>2848759</v>
      </c>
      <c r="B308" s="8" t="s">
        <v>546</v>
      </c>
      <c r="C308" s="16" t="s">
        <v>547</v>
      </c>
      <c r="D308" s="12"/>
      <c r="E308" s="11" t="str">
        <f t="shared" ref="E308:E309" si="3">HYPERLINK("https://search.ancestryinstitution.com/aird/search/db.aspx?dbid=1277","Ancestry.com")</f>
        <v>Ancestry.com</v>
      </c>
      <c r="F308" s="12"/>
      <c r="G308" s="12"/>
      <c r="H308" s="13">
        <v>85</v>
      </c>
      <c r="I308" s="14" t="s">
        <v>15</v>
      </c>
    </row>
    <row r="309" spans="1:9" ht="31.2">
      <c r="A309" s="15">
        <v>3730419</v>
      </c>
      <c r="B309" s="8" t="s">
        <v>548</v>
      </c>
      <c r="C309" s="16" t="s">
        <v>549</v>
      </c>
      <c r="D309" s="12"/>
      <c r="E309" s="28" t="str">
        <f t="shared" si="3"/>
        <v>Ancestry.com</v>
      </c>
      <c r="F309" s="12"/>
      <c r="G309" s="12"/>
      <c r="H309" s="13">
        <v>85</v>
      </c>
      <c r="I309" s="14" t="s">
        <v>15</v>
      </c>
    </row>
    <row r="310" spans="1:9" ht="46.8">
      <c r="A310" s="15">
        <v>2838383</v>
      </c>
      <c r="B310" s="8" t="s">
        <v>550</v>
      </c>
      <c r="C310" s="35" t="s">
        <v>551</v>
      </c>
      <c r="D310" s="12"/>
      <c r="E310" s="18" t="s">
        <v>14</v>
      </c>
      <c r="F310" s="12"/>
      <c r="G310" s="12"/>
      <c r="H310" s="13">
        <v>85</v>
      </c>
      <c r="I310" s="23" t="s">
        <v>11</v>
      </c>
    </row>
    <row r="311" spans="1:9" ht="31.2">
      <c r="A311" s="15">
        <v>2857330</v>
      </c>
      <c r="B311" s="8" t="s">
        <v>552</v>
      </c>
      <c r="C311" s="35" t="s">
        <v>553</v>
      </c>
      <c r="D311" s="12"/>
      <c r="E311" s="18" t="s">
        <v>14</v>
      </c>
      <c r="F311" s="12"/>
      <c r="G311" s="12"/>
      <c r="H311" s="13">
        <v>85</v>
      </c>
      <c r="I311" s="14" t="s">
        <v>11</v>
      </c>
    </row>
    <row r="312" spans="1:9" ht="46.8">
      <c r="A312" s="15">
        <v>4644607</v>
      </c>
      <c r="B312" s="8" t="s">
        <v>554</v>
      </c>
      <c r="C312" s="35" t="s">
        <v>555</v>
      </c>
      <c r="D312" s="12"/>
      <c r="E312" s="17" t="s">
        <v>14</v>
      </c>
      <c r="F312" s="11" t="s">
        <v>43</v>
      </c>
      <c r="G312" s="12"/>
      <c r="H312" s="13">
        <v>85</v>
      </c>
      <c r="I312" s="23" t="s">
        <v>11</v>
      </c>
    </row>
    <row r="313" spans="1:9" ht="62.4">
      <c r="A313" s="15">
        <v>2839260</v>
      </c>
      <c r="B313" s="8" t="s">
        <v>556</v>
      </c>
      <c r="C313" s="35" t="s">
        <v>557</v>
      </c>
      <c r="D313" s="12"/>
      <c r="E313" s="17" t="s">
        <v>14</v>
      </c>
      <c r="F313" s="11" t="str">
        <f>HYPERLINK("https://www.familysearch.org/search/catalog/2426329","FamilySearch.org")</f>
        <v>FamilySearch.org</v>
      </c>
      <c r="G313" s="12"/>
      <c r="H313" s="13">
        <v>85</v>
      </c>
      <c r="I313" s="23" t="s">
        <v>11</v>
      </c>
    </row>
    <row r="314" spans="1:9" ht="31.2">
      <c r="A314" s="15">
        <v>2843448</v>
      </c>
      <c r="B314" s="8" t="s">
        <v>558</v>
      </c>
      <c r="C314" s="48" t="s">
        <v>559</v>
      </c>
      <c r="D314" s="12"/>
      <c r="E314" s="17" t="s">
        <v>14</v>
      </c>
      <c r="F314" s="12"/>
      <c r="G314" s="12"/>
      <c r="H314" s="13">
        <v>85</v>
      </c>
      <c r="I314" s="23" t="s">
        <v>11</v>
      </c>
    </row>
    <row r="315" spans="1:9" ht="31.2">
      <c r="A315" s="15">
        <v>2663387</v>
      </c>
      <c r="B315" s="8" t="s">
        <v>560</v>
      </c>
      <c r="C315" s="35" t="s">
        <v>561</v>
      </c>
      <c r="D315" s="12"/>
      <c r="E315" s="17" t="s">
        <v>14</v>
      </c>
      <c r="F315" s="12"/>
      <c r="G315" s="12"/>
      <c r="H315" s="13">
        <v>85</v>
      </c>
      <c r="I315" s="23" t="s">
        <v>11</v>
      </c>
    </row>
    <row r="316" spans="1:9" ht="31.2">
      <c r="A316" s="15">
        <v>2663354</v>
      </c>
      <c r="B316" s="8" t="s">
        <v>562</v>
      </c>
      <c r="C316" s="16" t="s">
        <v>563</v>
      </c>
      <c r="D316" s="12"/>
      <c r="E316" s="18" t="s">
        <v>14</v>
      </c>
      <c r="F316" s="12"/>
      <c r="G316" s="12"/>
      <c r="H316" s="13">
        <v>85</v>
      </c>
      <c r="I316" s="14" t="s">
        <v>15</v>
      </c>
    </row>
    <row r="317" spans="1:9" ht="46.8">
      <c r="A317" s="15">
        <v>2663221</v>
      </c>
      <c r="B317" s="8" t="s">
        <v>564</v>
      </c>
      <c r="C317" s="35" t="s">
        <v>565</v>
      </c>
      <c r="D317" s="12"/>
      <c r="E317" s="17" t="s">
        <v>14</v>
      </c>
      <c r="F317" s="12"/>
      <c r="G317" s="12"/>
      <c r="H317" s="13">
        <v>85</v>
      </c>
      <c r="I317" s="14" t="s">
        <v>18</v>
      </c>
    </row>
    <row r="318" spans="1:9" ht="31.2">
      <c r="A318" s="15">
        <v>2663468</v>
      </c>
      <c r="B318" s="8" t="s">
        <v>566</v>
      </c>
      <c r="C318" s="35" t="s">
        <v>567</v>
      </c>
      <c r="D318" s="12"/>
      <c r="E318" s="17" t="s">
        <v>14</v>
      </c>
      <c r="F318" s="12"/>
      <c r="G318" s="12"/>
      <c r="H318" s="13">
        <v>85</v>
      </c>
      <c r="I318" s="14" t="s">
        <v>18</v>
      </c>
    </row>
    <row r="319" spans="1:9" ht="31.2">
      <c r="A319" s="15">
        <v>2669486</v>
      </c>
      <c r="B319" s="8" t="s">
        <v>568</v>
      </c>
      <c r="C319" s="35" t="s">
        <v>569</v>
      </c>
      <c r="D319" s="12"/>
      <c r="E319" s="11" t="str">
        <f>HYPERLINK("https://search.ancestryinstitution.com/aird/search/db.aspx?dbid=9220","Ancestry.com")</f>
        <v>Ancestry.com</v>
      </c>
      <c r="F319" s="12"/>
      <c r="G319" s="12"/>
      <c r="H319" s="13">
        <v>85</v>
      </c>
      <c r="I319" s="14" t="s">
        <v>18</v>
      </c>
    </row>
    <row r="320" spans="1:9" ht="31.2">
      <c r="A320" s="15">
        <v>2669417</v>
      </c>
      <c r="B320" s="8" t="s">
        <v>570</v>
      </c>
      <c r="C320" s="35" t="s">
        <v>571</v>
      </c>
      <c r="D320" s="12"/>
      <c r="E320" s="17" t="s">
        <v>14</v>
      </c>
      <c r="F320" s="12"/>
      <c r="G320" s="12"/>
      <c r="H320" s="13">
        <v>85</v>
      </c>
      <c r="I320" s="14" t="s">
        <v>11</v>
      </c>
    </row>
    <row r="321" spans="1:9" ht="46.8">
      <c r="A321" s="15">
        <v>2669423</v>
      </c>
      <c r="B321" s="8" t="s">
        <v>572</v>
      </c>
      <c r="C321" s="35" t="s">
        <v>573</v>
      </c>
      <c r="D321" s="12"/>
      <c r="E321" s="17" t="s">
        <v>14</v>
      </c>
      <c r="F321" s="12"/>
      <c r="G321" s="12"/>
      <c r="H321" s="13">
        <v>85</v>
      </c>
      <c r="I321" s="23" t="s">
        <v>18</v>
      </c>
    </row>
    <row r="322" spans="1:9" ht="46.8">
      <c r="A322" s="15">
        <v>2669478</v>
      </c>
      <c r="B322" s="8" t="s">
        <v>574</v>
      </c>
      <c r="C322" s="35" t="s">
        <v>575</v>
      </c>
      <c r="D322" s="12"/>
      <c r="E322" s="17" t="s">
        <v>14</v>
      </c>
      <c r="F322" s="12"/>
      <c r="G322" s="12"/>
      <c r="H322" s="13">
        <v>85</v>
      </c>
      <c r="I322" s="23" t="s">
        <v>18</v>
      </c>
    </row>
    <row r="323" spans="1:9" ht="31.2">
      <c r="A323" s="15">
        <v>2642484</v>
      </c>
      <c r="B323" s="8" t="s">
        <v>576</v>
      </c>
      <c r="C323" s="35" t="s">
        <v>577</v>
      </c>
      <c r="D323" s="12"/>
      <c r="E323" s="17" t="s">
        <v>14</v>
      </c>
      <c r="F323" s="12"/>
      <c r="G323" s="12"/>
      <c r="H323" s="13">
        <v>85</v>
      </c>
      <c r="I323" s="14" t="s">
        <v>11</v>
      </c>
    </row>
    <row r="324" spans="1:9" ht="46.8">
      <c r="A324" s="15">
        <v>2642537</v>
      </c>
      <c r="B324" s="8" t="s">
        <v>578</v>
      </c>
      <c r="C324" s="35" t="s">
        <v>579</v>
      </c>
      <c r="D324" s="12"/>
      <c r="E324" s="17" t="s">
        <v>14</v>
      </c>
      <c r="F324" s="12"/>
      <c r="G324" s="12"/>
      <c r="H324" s="13">
        <v>85</v>
      </c>
      <c r="I324" s="23" t="s">
        <v>18</v>
      </c>
    </row>
    <row r="325" spans="1:9" ht="31.2">
      <c r="A325" s="15">
        <v>2674588</v>
      </c>
      <c r="B325" s="8" t="s">
        <v>580</v>
      </c>
      <c r="C325" s="16" t="s">
        <v>581</v>
      </c>
      <c r="D325" s="12"/>
      <c r="E325" s="17" t="s">
        <v>14</v>
      </c>
      <c r="F325" s="12"/>
      <c r="G325" s="12"/>
      <c r="H325" s="13">
        <v>85</v>
      </c>
      <c r="I325" s="14" t="s">
        <v>15</v>
      </c>
    </row>
    <row r="326" spans="1:9" ht="31.2">
      <c r="A326" s="15">
        <v>2674699</v>
      </c>
      <c r="B326" s="8" t="s">
        <v>582</v>
      </c>
      <c r="C326" s="16" t="s">
        <v>583</v>
      </c>
      <c r="D326" s="12"/>
      <c r="E326" s="11" t="str">
        <f>HYPERLINK("https://search.ancestryinstitution.com/aird/search/db.aspx?dbid=9033","Ancestry.com")</f>
        <v>Ancestry.com</v>
      </c>
      <c r="F326" s="12"/>
      <c r="G326" s="12"/>
      <c r="H326" s="13">
        <v>85</v>
      </c>
      <c r="I326" s="14" t="s">
        <v>15</v>
      </c>
    </row>
    <row r="327" spans="1:9" ht="31.2">
      <c r="A327" s="15">
        <v>2363653</v>
      </c>
      <c r="B327" s="8" t="s">
        <v>584</v>
      </c>
      <c r="C327" s="35" t="s">
        <v>585</v>
      </c>
      <c r="D327" s="12"/>
      <c r="E327" s="17" t="s">
        <v>14</v>
      </c>
      <c r="F327" s="12"/>
      <c r="G327" s="12"/>
      <c r="H327" s="13">
        <v>85</v>
      </c>
      <c r="I327" s="23" t="s">
        <v>11</v>
      </c>
    </row>
    <row r="328" spans="1:9" ht="46.8">
      <c r="A328" s="15">
        <v>2843062</v>
      </c>
      <c r="B328" s="8" t="s">
        <v>586</v>
      </c>
      <c r="C328" s="35" t="s">
        <v>587</v>
      </c>
      <c r="D328" s="12"/>
      <c r="E328" s="17" t="s">
        <v>14</v>
      </c>
      <c r="F328" s="12"/>
      <c r="G328" s="12"/>
      <c r="H328" s="13">
        <v>85</v>
      </c>
      <c r="I328" s="23" t="s">
        <v>18</v>
      </c>
    </row>
    <row r="329" spans="1:9" ht="31.2">
      <c r="A329" s="15">
        <v>2674821</v>
      </c>
      <c r="B329" s="8" t="s">
        <v>588</v>
      </c>
      <c r="C329" s="35" t="s">
        <v>589</v>
      </c>
      <c r="D329" s="12"/>
      <c r="E329" s="17" t="s">
        <v>14</v>
      </c>
      <c r="F329" s="12"/>
      <c r="G329" s="12"/>
      <c r="H329" s="13">
        <v>85</v>
      </c>
      <c r="I329" s="23" t="s">
        <v>18</v>
      </c>
    </row>
    <row r="330" spans="1:9" ht="31.2">
      <c r="A330" s="15">
        <v>2789094</v>
      </c>
      <c r="B330" s="8" t="s">
        <v>590</v>
      </c>
      <c r="C330" s="35" t="s">
        <v>591</v>
      </c>
      <c r="D330" s="12"/>
      <c r="E330" s="17" t="s">
        <v>14</v>
      </c>
      <c r="F330" s="12"/>
      <c r="G330" s="12"/>
      <c r="H330" s="13">
        <v>85</v>
      </c>
      <c r="I330" s="23" t="s">
        <v>11</v>
      </c>
    </row>
    <row r="331" spans="1:9" ht="31.2">
      <c r="A331" s="15">
        <v>2789103</v>
      </c>
      <c r="B331" s="8" t="s">
        <v>592</v>
      </c>
      <c r="C331" s="35" t="s">
        <v>591</v>
      </c>
      <c r="D331" s="12"/>
      <c r="E331" s="17" t="s">
        <v>14</v>
      </c>
      <c r="F331" s="12"/>
      <c r="G331" s="12"/>
      <c r="H331" s="13">
        <v>85</v>
      </c>
      <c r="I331" s="23" t="s">
        <v>11</v>
      </c>
    </row>
    <row r="332" spans="1:9" ht="31.2">
      <c r="A332" s="15">
        <v>2790468</v>
      </c>
      <c r="B332" s="8" t="s">
        <v>593</v>
      </c>
      <c r="C332" s="35" t="s">
        <v>594</v>
      </c>
      <c r="D332" s="12"/>
      <c r="E332" s="17" t="s">
        <v>14</v>
      </c>
      <c r="F332" s="12"/>
      <c r="G332" s="12"/>
      <c r="H332" s="13">
        <v>85</v>
      </c>
      <c r="I332" s="14" t="s">
        <v>11</v>
      </c>
    </row>
    <row r="333" spans="1:9" ht="46.8">
      <c r="A333" s="15">
        <v>2790491</v>
      </c>
      <c r="B333" s="8" t="s">
        <v>595</v>
      </c>
      <c r="C333" s="35" t="s">
        <v>596</v>
      </c>
      <c r="D333" s="12"/>
      <c r="E333" s="17" t="s">
        <v>14</v>
      </c>
      <c r="F333" s="12"/>
      <c r="G333" s="12"/>
      <c r="H333" s="13">
        <v>85</v>
      </c>
      <c r="I333" s="23" t="s">
        <v>11</v>
      </c>
    </row>
    <row r="334" spans="1:9" ht="31.2">
      <c r="A334" s="15">
        <v>2843122</v>
      </c>
      <c r="B334" s="8" t="s">
        <v>597</v>
      </c>
      <c r="C334" s="16" t="s">
        <v>598</v>
      </c>
      <c r="D334" s="12"/>
      <c r="E334" s="11" t="str">
        <f>HYPERLINK("https://search.ancestryinstitution.com/aird/search/db.aspx?dbid=9033","Ancestry.com")</f>
        <v>Ancestry.com</v>
      </c>
      <c r="F334" s="12"/>
      <c r="G334" s="12"/>
      <c r="H334" s="13">
        <v>85</v>
      </c>
      <c r="I334" s="14" t="s">
        <v>15</v>
      </c>
    </row>
    <row r="335" spans="1:9" ht="31.2">
      <c r="A335" s="15">
        <v>2843103</v>
      </c>
      <c r="B335" s="8" t="s">
        <v>599</v>
      </c>
      <c r="C335" s="16" t="s">
        <v>600</v>
      </c>
      <c r="D335" s="11"/>
      <c r="E335" s="51" t="str">
        <f>HYPERLINK("https://search.ancestryinstitution.com/search/db.aspx?dbid=9220","Ancestry.com")</f>
        <v>Ancestry.com</v>
      </c>
      <c r="F335" s="12"/>
      <c r="G335" s="12"/>
      <c r="H335" s="13">
        <v>85</v>
      </c>
      <c r="I335" s="14" t="s">
        <v>15</v>
      </c>
    </row>
    <row r="336" spans="1:9" ht="31.2">
      <c r="A336" s="15">
        <v>2837559</v>
      </c>
      <c r="B336" s="8" t="s">
        <v>601</v>
      </c>
      <c r="C336" s="35" t="s">
        <v>602</v>
      </c>
      <c r="D336" s="11"/>
      <c r="E336" s="52" t="str">
        <f>HYPERLINK("https://search.ancestryinstitution.com/search/db.aspx?dbid=7484","Ancestry.com")</f>
        <v>Ancestry.com</v>
      </c>
      <c r="F336" s="12"/>
      <c r="G336" s="12"/>
      <c r="H336" s="13">
        <v>85</v>
      </c>
      <c r="I336" s="23" t="s">
        <v>18</v>
      </c>
    </row>
    <row r="337" spans="1:9" ht="31.2">
      <c r="A337" s="15">
        <v>2837584</v>
      </c>
      <c r="B337" s="8" t="s">
        <v>603</v>
      </c>
      <c r="C337" s="35" t="s">
        <v>604</v>
      </c>
      <c r="D337" s="12"/>
      <c r="E337" s="17" t="s">
        <v>14</v>
      </c>
      <c r="F337" s="12"/>
      <c r="G337" s="12"/>
      <c r="H337" s="13">
        <v>85</v>
      </c>
      <c r="I337" s="14" t="s">
        <v>18</v>
      </c>
    </row>
    <row r="338" spans="1:9" ht="31.2">
      <c r="A338" s="15">
        <v>2837622</v>
      </c>
      <c r="B338" s="8" t="s">
        <v>605</v>
      </c>
      <c r="C338" s="53" t="s">
        <v>606</v>
      </c>
      <c r="D338" s="12"/>
      <c r="E338" s="17" t="s">
        <v>14</v>
      </c>
      <c r="F338" s="12"/>
      <c r="G338" s="12"/>
      <c r="H338" s="13">
        <v>85</v>
      </c>
      <c r="I338" s="14" t="s">
        <v>15</v>
      </c>
    </row>
    <row r="339" spans="1:9" ht="31.2">
      <c r="A339" s="15">
        <v>2843278</v>
      </c>
      <c r="B339" s="8" t="s">
        <v>607</v>
      </c>
      <c r="C339" s="35" t="s">
        <v>608</v>
      </c>
      <c r="D339" s="12"/>
      <c r="E339" s="11" t="str">
        <f t="shared" ref="E339:E340" si="4">HYPERLINK("https://search.ancestryinstitution.com/aird/search/db.aspx?dbid=9220","Ancestry.com")</f>
        <v>Ancestry.com</v>
      </c>
      <c r="F339" s="12"/>
      <c r="G339" s="12"/>
      <c r="H339" s="13">
        <v>85</v>
      </c>
      <c r="I339" s="14" t="s">
        <v>18</v>
      </c>
    </row>
    <row r="340" spans="1:9" ht="31.2">
      <c r="A340" s="15">
        <v>3054082</v>
      </c>
      <c r="B340" s="8" t="s">
        <v>609</v>
      </c>
      <c r="C340" s="16" t="s">
        <v>610</v>
      </c>
      <c r="D340" s="12"/>
      <c r="E340" s="11" t="str">
        <f t="shared" si="4"/>
        <v>Ancestry.com</v>
      </c>
      <c r="F340" s="12"/>
      <c r="G340" s="12"/>
      <c r="H340" s="13">
        <v>85</v>
      </c>
      <c r="I340" s="14" t="s">
        <v>15</v>
      </c>
    </row>
    <row r="341" spans="1:9" ht="31.2">
      <c r="A341" s="15">
        <v>2922354</v>
      </c>
      <c r="B341" s="8" t="s">
        <v>611</v>
      </c>
      <c r="C341" s="35" t="s">
        <v>612</v>
      </c>
      <c r="D341" s="12"/>
      <c r="E341" s="17" t="s">
        <v>14</v>
      </c>
      <c r="F341" s="12"/>
      <c r="G341" s="12"/>
      <c r="H341" s="13">
        <v>85</v>
      </c>
      <c r="I341" s="14" t="s">
        <v>18</v>
      </c>
    </row>
    <row r="342" spans="1:9" ht="31.2">
      <c r="A342" s="15">
        <v>2990439</v>
      </c>
      <c r="B342" s="8" t="s">
        <v>613</v>
      </c>
      <c r="C342" s="35" t="s">
        <v>614</v>
      </c>
      <c r="D342" s="12"/>
      <c r="E342" s="11" t="str">
        <f t="shared" ref="E342:E343" si="5">HYPERLINK("https://search.ancestryinstitution.com/aird/search/db.aspx?dbid=7949","Ancestry.com")</f>
        <v>Ancestry.com</v>
      </c>
      <c r="F342" s="12"/>
      <c r="G342" s="12"/>
      <c r="H342" s="13">
        <v>85</v>
      </c>
      <c r="I342" s="14" t="s">
        <v>18</v>
      </c>
    </row>
    <row r="343" spans="1:9" ht="46.8">
      <c r="A343" s="15">
        <v>2922373</v>
      </c>
      <c r="B343" s="8" t="s">
        <v>615</v>
      </c>
      <c r="C343" s="16" t="s">
        <v>616</v>
      </c>
      <c r="D343" s="12"/>
      <c r="E343" s="11" t="str">
        <f t="shared" si="5"/>
        <v>Ancestry.com</v>
      </c>
      <c r="F343" s="12"/>
      <c r="G343" s="12"/>
      <c r="H343" s="13">
        <v>85</v>
      </c>
      <c r="I343" s="14" t="s">
        <v>15</v>
      </c>
    </row>
    <row r="344" spans="1:9" ht="31.2">
      <c r="A344" s="15">
        <v>2922377</v>
      </c>
      <c r="B344" s="8" t="s">
        <v>617</v>
      </c>
      <c r="C344" s="16" t="s">
        <v>618</v>
      </c>
      <c r="D344" s="12"/>
      <c r="E344" s="17" t="s">
        <v>14</v>
      </c>
      <c r="F344" s="12"/>
      <c r="G344" s="12"/>
      <c r="H344" s="13">
        <v>85</v>
      </c>
      <c r="I344" s="14" t="s">
        <v>15</v>
      </c>
    </row>
    <row r="345" spans="1:9" ht="46.8">
      <c r="A345" s="15">
        <v>3317686</v>
      </c>
      <c r="B345" s="8" t="s">
        <v>619</v>
      </c>
      <c r="C345" s="16" t="s">
        <v>620</v>
      </c>
      <c r="D345" s="12"/>
      <c r="E345" s="11" t="str">
        <f>HYPERLINK("https://search.ancestryinstitution.com/aird/search/db.aspx?dbid=60882","Ancestry.com")</f>
        <v>Ancestry.com</v>
      </c>
      <c r="F345" s="12"/>
      <c r="G345" s="12"/>
      <c r="H345" s="13">
        <v>85</v>
      </c>
      <c r="I345" s="14" t="s">
        <v>15</v>
      </c>
    </row>
    <row r="346" spans="1:9" ht="31.2">
      <c r="A346" s="15">
        <v>2945682</v>
      </c>
      <c r="B346" s="8" t="s">
        <v>621</v>
      </c>
      <c r="C346" s="16" t="s">
        <v>622</v>
      </c>
      <c r="D346" s="11"/>
      <c r="E346" s="52" t="str">
        <f>HYPERLINK("https://www.ancestry.com/search/collections/casanfranfuneralhomerec/","Ancestry.com")</f>
        <v>Ancestry.com</v>
      </c>
      <c r="F346" s="12"/>
      <c r="G346" s="12"/>
      <c r="H346" s="13">
        <v>85</v>
      </c>
      <c r="I346" s="14" t="s">
        <v>15</v>
      </c>
    </row>
    <row r="347" spans="1:9" ht="31.2">
      <c r="A347" s="15">
        <v>2945834</v>
      </c>
      <c r="B347" s="8" t="s">
        <v>623</v>
      </c>
      <c r="C347" s="16" t="s">
        <v>624</v>
      </c>
      <c r="D347" s="12"/>
      <c r="E347" s="17" t="s">
        <v>14</v>
      </c>
      <c r="F347" s="12"/>
      <c r="G347" s="12"/>
      <c r="H347" s="13">
        <v>85</v>
      </c>
      <c r="I347" s="14" t="s">
        <v>15</v>
      </c>
    </row>
    <row r="348" spans="1:9" ht="31.2">
      <c r="A348" s="15">
        <v>2945908</v>
      </c>
      <c r="B348" s="8" t="s">
        <v>625</v>
      </c>
      <c r="C348" s="35" t="s">
        <v>626</v>
      </c>
      <c r="D348" s="12"/>
      <c r="E348" s="17" t="s">
        <v>14</v>
      </c>
      <c r="F348" s="12"/>
      <c r="G348" s="12"/>
      <c r="H348" s="13">
        <v>85</v>
      </c>
      <c r="I348" s="14" t="s">
        <v>18</v>
      </c>
    </row>
    <row r="349" spans="1:9" ht="31.2">
      <c r="A349" s="15">
        <v>3681966</v>
      </c>
      <c r="B349" s="8" t="s">
        <v>627</v>
      </c>
      <c r="C349" s="35" t="s">
        <v>628</v>
      </c>
      <c r="D349" s="12"/>
      <c r="E349" s="17" t="s">
        <v>14</v>
      </c>
      <c r="F349" s="12"/>
      <c r="G349" s="12"/>
      <c r="H349" s="13">
        <v>85</v>
      </c>
      <c r="I349" s="14" t="s">
        <v>11</v>
      </c>
    </row>
    <row r="350" spans="1:9" ht="31.2">
      <c r="A350" s="15">
        <v>3678982</v>
      </c>
      <c r="B350" s="8" t="s">
        <v>629</v>
      </c>
      <c r="C350" s="35" t="s">
        <v>630</v>
      </c>
      <c r="D350" s="12"/>
      <c r="E350" s="17" t="s">
        <v>14</v>
      </c>
      <c r="F350" s="12"/>
      <c r="G350" s="12"/>
      <c r="H350" s="13">
        <v>85</v>
      </c>
      <c r="I350" s="14" t="s">
        <v>11</v>
      </c>
    </row>
    <row r="351" spans="1:9" ht="31.2">
      <c r="A351" s="15">
        <v>2990058</v>
      </c>
      <c r="B351" s="8" t="s">
        <v>631</v>
      </c>
      <c r="C351" s="16" t="s">
        <v>632</v>
      </c>
      <c r="D351" s="12"/>
      <c r="E351" s="11" t="str">
        <f>HYPERLINK("https://search.ancestryinstitution.com/aird/search/db.aspx?dbid=8945","Ancestry.com")</f>
        <v>Ancestry.com</v>
      </c>
      <c r="F351" s="12"/>
      <c r="G351" s="12"/>
      <c r="H351" s="13">
        <v>85</v>
      </c>
      <c r="I351" s="14" t="s">
        <v>15</v>
      </c>
    </row>
    <row r="352" spans="1:9" ht="31.2">
      <c r="A352" s="15">
        <v>2990075</v>
      </c>
      <c r="B352" s="8" t="s">
        <v>633</v>
      </c>
      <c r="C352" s="16" t="s">
        <v>634</v>
      </c>
      <c r="D352" s="12"/>
      <c r="E352" s="11" t="str">
        <f>HYPERLINK("https://search.ancestryinstitution.com/aird/search/db.aspx?dbid=9220","Ancestry.com")</f>
        <v>Ancestry.com</v>
      </c>
      <c r="F352" s="12"/>
      <c r="G352" s="12"/>
      <c r="H352" s="13">
        <v>85</v>
      </c>
      <c r="I352" s="14" t="s">
        <v>15</v>
      </c>
    </row>
    <row r="353" spans="1:9" ht="46.8">
      <c r="A353" s="15">
        <v>2990121</v>
      </c>
      <c r="B353" s="8" t="s">
        <v>635</v>
      </c>
      <c r="C353" s="16" t="s">
        <v>636</v>
      </c>
      <c r="D353" s="12"/>
      <c r="E353" s="11" t="str">
        <f>HYPERLINK("https://search.ancestryinstitution.com/aird/search/db.aspx?dbid=9271","Ancestry.com")</f>
        <v>Ancestry.com</v>
      </c>
      <c r="F353" s="12"/>
      <c r="G353" s="12"/>
      <c r="H353" s="13">
        <v>85</v>
      </c>
      <c r="I353" s="14" t="s">
        <v>15</v>
      </c>
    </row>
    <row r="354" spans="1:9" ht="46.8">
      <c r="A354" s="15">
        <v>2990140</v>
      </c>
      <c r="B354" s="8" t="s">
        <v>637</v>
      </c>
      <c r="C354" s="16" t="s">
        <v>638</v>
      </c>
      <c r="D354" s="12"/>
      <c r="E354" s="11" t="str">
        <f>HYPERLINK("https://search.ancestryinstitution.com/aird/search/db.aspx?dbid=60979","Ancestry.com")</f>
        <v>Ancestry.com</v>
      </c>
      <c r="F354" s="12"/>
      <c r="G354" s="12"/>
      <c r="H354" s="13">
        <v>85</v>
      </c>
      <c r="I354" s="14" t="s">
        <v>15</v>
      </c>
    </row>
    <row r="355" spans="1:9" ht="46.8">
      <c r="A355" s="15">
        <v>2990142</v>
      </c>
      <c r="B355" s="8" t="s">
        <v>639</v>
      </c>
      <c r="C355" s="16" t="s">
        <v>640</v>
      </c>
      <c r="D355" s="12"/>
      <c r="E355" s="17" t="s">
        <v>14</v>
      </c>
      <c r="F355" s="12"/>
      <c r="G355" s="12"/>
      <c r="H355" s="13">
        <v>85</v>
      </c>
      <c r="I355" s="14" t="s">
        <v>15</v>
      </c>
    </row>
    <row r="356" spans="1:9" ht="46.8">
      <c r="A356" s="15">
        <v>2990142</v>
      </c>
      <c r="B356" s="8" t="s">
        <v>639</v>
      </c>
      <c r="C356" s="16" t="s">
        <v>640</v>
      </c>
      <c r="D356" s="12"/>
      <c r="E356" s="11" t="str">
        <f>HYPERLINK("https://search.ancestryinstitution.com/aird/search/db.aspx?dbid=9220","Ancestry.com")</f>
        <v>Ancestry.com</v>
      </c>
      <c r="F356" s="12"/>
      <c r="G356" s="12"/>
      <c r="H356" s="13">
        <v>85</v>
      </c>
      <c r="I356" s="14" t="s">
        <v>15</v>
      </c>
    </row>
    <row r="357" spans="1:9" ht="46.8">
      <c r="A357" s="15">
        <v>2867029</v>
      </c>
      <c r="B357" s="8" t="s">
        <v>641</v>
      </c>
      <c r="C357" s="35" t="s">
        <v>642</v>
      </c>
      <c r="D357" s="12"/>
      <c r="E357" s="17" t="s">
        <v>14</v>
      </c>
      <c r="F357" s="12"/>
      <c r="G357" s="12"/>
      <c r="H357" s="13">
        <v>85</v>
      </c>
      <c r="I357" s="14" t="s">
        <v>18</v>
      </c>
    </row>
    <row r="358" spans="1:9" ht="46.8">
      <c r="A358" s="15">
        <v>2990151</v>
      </c>
      <c r="B358" s="8" t="s">
        <v>643</v>
      </c>
      <c r="C358" s="35" t="s">
        <v>644</v>
      </c>
      <c r="D358" s="12"/>
      <c r="E358" s="17" t="s">
        <v>14</v>
      </c>
      <c r="F358" s="12"/>
      <c r="G358" s="12"/>
      <c r="H358" s="13">
        <v>85</v>
      </c>
      <c r="I358" s="14" t="s">
        <v>18</v>
      </c>
    </row>
    <row r="359" spans="1:9" ht="31.2">
      <c r="A359" s="15">
        <v>2990155</v>
      </c>
      <c r="B359" s="8" t="s">
        <v>645</v>
      </c>
      <c r="C359" s="16" t="s">
        <v>646</v>
      </c>
      <c r="D359" s="12"/>
      <c r="E359" s="17" t="s">
        <v>14</v>
      </c>
      <c r="F359" s="12"/>
      <c r="G359" s="12"/>
      <c r="H359" s="13">
        <v>85</v>
      </c>
      <c r="I359" s="14" t="s">
        <v>15</v>
      </c>
    </row>
    <row r="360" spans="1:9" ht="46.8">
      <c r="A360" s="15">
        <v>2990161</v>
      </c>
      <c r="B360" s="8" t="s">
        <v>647</v>
      </c>
      <c r="C360" s="16" t="s">
        <v>648</v>
      </c>
      <c r="D360" s="12"/>
      <c r="E360" s="28" t="str">
        <f t="shared" ref="E360:E361" si="6">HYPERLINK("https://search.ancestryinstitution.com/search/db.aspx?dbid=8945","Ancestry.com")</f>
        <v>Ancestry.com</v>
      </c>
      <c r="F360" s="12"/>
      <c r="G360" s="12"/>
      <c r="H360" s="13">
        <v>85</v>
      </c>
      <c r="I360" s="14" t="s">
        <v>15</v>
      </c>
    </row>
    <row r="361" spans="1:9" ht="31.2">
      <c r="A361" s="15">
        <v>2990164</v>
      </c>
      <c r="B361" s="8" t="s">
        <v>649</v>
      </c>
      <c r="C361" s="16" t="s">
        <v>650</v>
      </c>
      <c r="D361" s="12"/>
      <c r="E361" s="28" t="str">
        <f t="shared" si="6"/>
        <v>Ancestry.com</v>
      </c>
      <c r="F361" s="12"/>
      <c r="G361" s="12"/>
      <c r="H361" s="13">
        <v>85</v>
      </c>
      <c r="I361" s="14" t="s">
        <v>15</v>
      </c>
    </row>
    <row r="362" spans="1:9" ht="46.8">
      <c r="A362" s="15">
        <v>2990168</v>
      </c>
      <c r="B362" s="8" t="s">
        <v>651</v>
      </c>
      <c r="C362" s="16" t="s">
        <v>652</v>
      </c>
      <c r="D362" s="12"/>
      <c r="E362" s="17" t="s">
        <v>14</v>
      </c>
      <c r="F362" s="12"/>
      <c r="G362" s="12"/>
      <c r="H362" s="13">
        <v>85</v>
      </c>
      <c r="I362" s="14" t="s">
        <v>15</v>
      </c>
    </row>
    <row r="363" spans="1:9" ht="46.8">
      <c r="A363" s="15">
        <v>2990193</v>
      </c>
      <c r="B363" s="8" t="s">
        <v>653</v>
      </c>
      <c r="C363" s="35" t="s">
        <v>654</v>
      </c>
      <c r="D363" s="12"/>
      <c r="E363" s="17" t="s">
        <v>14</v>
      </c>
      <c r="F363" s="12"/>
      <c r="G363" s="12"/>
      <c r="H363" s="13">
        <v>85</v>
      </c>
      <c r="I363" s="14" t="s">
        <v>11</v>
      </c>
    </row>
    <row r="364" spans="1:9" ht="46.8">
      <c r="A364" s="15">
        <v>2945511</v>
      </c>
      <c r="B364" s="8" t="s">
        <v>655</v>
      </c>
      <c r="C364" s="35" t="s">
        <v>656</v>
      </c>
      <c r="D364" s="12"/>
      <c r="E364" s="11" t="str">
        <f>HYPERLINK("https://search.ancestryinstitution.com/aird/search/db.aspx?dbid=7949","Ancestry.com")</f>
        <v>Ancestry.com</v>
      </c>
      <c r="F364" s="12"/>
      <c r="G364" s="12"/>
      <c r="H364" s="13">
        <v>85</v>
      </c>
      <c r="I364" s="14" t="s">
        <v>18</v>
      </c>
    </row>
    <row r="365" spans="1:9" ht="31.2">
      <c r="A365" s="15">
        <v>3033312</v>
      </c>
      <c r="B365" s="8" t="s">
        <v>657</v>
      </c>
      <c r="C365" s="35" t="s">
        <v>658</v>
      </c>
      <c r="D365" s="12"/>
      <c r="E365" s="17" t="s">
        <v>14</v>
      </c>
      <c r="F365" s="12"/>
      <c r="G365" s="12"/>
      <c r="H365" s="13">
        <v>85</v>
      </c>
      <c r="I365" s="14" t="s">
        <v>18</v>
      </c>
    </row>
    <row r="366" spans="1:9" ht="46.8">
      <c r="A366" s="15">
        <v>2990200</v>
      </c>
      <c r="B366" s="8" t="s">
        <v>659</v>
      </c>
      <c r="C366" s="16" t="s">
        <v>660</v>
      </c>
      <c r="D366" s="12"/>
      <c r="E366" s="11" t="str">
        <f>HYPERLINK("https://search.ancestryinstitution.com/aird/search/db.aspx?dbid=1277","Ancestry.com")</f>
        <v>Ancestry.com</v>
      </c>
      <c r="F366" s="12"/>
      <c r="G366" s="12"/>
      <c r="H366" s="13">
        <v>85</v>
      </c>
      <c r="I366" s="14" t="s">
        <v>15</v>
      </c>
    </row>
    <row r="367" spans="1:9" ht="31.2">
      <c r="A367" s="15">
        <v>2663444</v>
      </c>
      <c r="B367" s="8" t="s">
        <v>661</v>
      </c>
      <c r="C367" s="35" t="s">
        <v>662</v>
      </c>
      <c r="D367" s="12"/>
      <c r="E367" s="17" t="s">
        <v>14</v>
      </c>
      <c r="F367" s="12"/>
      <c r="G367" s="12"/>
      <c r="H367" s="13">
        <v>85</v>
      </c>
      <c r="I367" s="14" t="s">
        <v>18</v>
      </c>
    </row>
    <row r="368" spans="1:9" ht="46.8">
      <c r="A368" s="15">
        <v>2663479</v>
      </c>
      <c r="B368" s="8" t="s">
        <v>663</v>
      </c>
      <c r="C368" s="35" t="s">
        <v>664</v>
      </c>
      <c r="D368" s="12"/>
      <c r="E368" s="17" t="s">
        <v>14</v>
      </c>
      <c r="F368" s="12"/>
      <c r="G368" s="12"/>
      <c r="H368" s="13">
        <v>85</v>
      </c>
      <c r="I368" s="14" t="s">
        <v>18</v>
      </c>
    </row>
    <row r="369" spans="1:9" ht="46.8">
      <c r="A369" s="15">
        <v>2669132</v>
      </c>
      <c r="B369" s="8" t="s">
        <v>665</v>
      </c>
      <c r="C369" s="35" t="s">
        <v>666</v>
      </c>
      <c r="D369" s="12"/>
      <c r="E369" s="17" t="s">
        <v>14</v>
      </c>
      <c r="F369" s="12"/>
      <c r="G369" s="12"/>
      <c r="H369" s="13">
        <v>85</v>
      </c>
      <c r="I369" s="14" t="s">
        <v>18</v>
      </c>
    </row>
    <row r="370" spans="1:9" ht="62.4">
      <c r="A370" s="15">
        <v>2789096</v>
      </c>
      <c r="B370" s="8" t="s">
        <v>667</v>
      </c>
      <c r="C370" s="35" t="s">
        <v>668</v>
      </c>
      <c r="D370" s="12"/>
      <c r="E370" s="12"/>
      <c r="F370" s="11" t="s">
        <v>43</v>
      </c>
      <c r="G370" s="12"/>
      <c r="H370" s="13">
        <v>85</v>
      </c>
      <c r="I370" s="23" t="s">
        <v>11</v>
      </c>
    </row>
    <row r="371" spans="1:9" ht="46.8">
      <c r="A371" s="15">
        <v>2736783</v>
      </c>
      <c r="B371" s="8" t="s">
        <v>669</v>
      </c>
      <c r="C371" s="35" t="s">
        <v>670</v>
      </c>
      <c r="D371" s="12"/>
      <c r="E371" s="17"/>
      <c r="F371" s="12"/>
      <c r="G371" s="12"/>
      <c r="H371" s="13">
        <v>85</v>
      </c>
      <c r="I371" s="14" t="s">
        <v>18</v>
      </c>
    </row>
    <row r="372" spans="1:9" ht="31.2">
      <c r="A372" s="15">
        <v>2328446</v>
      </c>
      <c r="B372" s="8" t="s">
        <v>671</v>
      </c>
      <c r="C372" s="35" t="s">
        <v>672</v>
      </c>
      <c r="D372" s="12"/>
      <c r="E372" s="17" t="s">
        <v>14</v>
      </c>
      <c r="F372" s="12"/>
      <c r="G372" s="12"/>
      <c r="H372" s="13">
        <v>85</v>
      </c>
      <c r="I372" s="14" t="s">
        <v>11</v>
      </c>
    </row>
    <row r="373" spans="1:9" ht="31.2">
      <c r="A373" s="15">
        <v>2329274</v>
      </c>
      <c r="B373" s="8" t="s">
        <v>673</v>
      </c>
      <c r="C373" s="35" t="s">
        <v>674</v>
      </c>
      <c r="D373" s="12"/>
      <c r="E373" s="17" t="s">
        <v>14</v>
      </c>
      <c r="F373" s="12"/>
      <c r="G373" s="12"/>
      <c r="H373" s="13">
        <v>85</v>
      </c>
      <c r="I373" s="14" t="s">
        <v>18</v>
      </c>
    </row>
    <row r="374" spans="1:9" ht="46.8">
      <c r="A374" s="15">
        <v>2252774</v>
      </c>
      <c r="B374" s="8" t="s">
        <v>675</v>
      </c>
      <c r="C374" s="35" t="s">
        <v>676</v>
      </c>
      <c r="D374" s="12"/>
      <c r="E374" s="17" t="s">
        <v>14</v>
      </c>
      <c r="F374" s="12"/>
      <c r="G374" s="12"/>
      <c r="H374" s="13">
        <v>85</v>
      </c>
      <c r="I374" s="23" t="s">
        <v>18</v>
      </c>
    </row>
    <row r="375" spans="1:9" ht="31.2">
      <c r="A375" s="15">
        <v>2353537</v>
      </c>
      <c r="B375" s="8" t="s">
        <v>677</v>
      </c>
      <c r="C375" s="35" t="s">
        <v>678</v>
      </c>
      <c r="D375" s="12"/>
      <c r="E375" s="11" t="s">
        <v>14</v>
      </c>
      <c r="F375" s="12"/>
      <c r="G375" s="12"/>
      <c r="H375" s="13">
        <v>85</v>
      </c>
      <c r="I375" s="14" t="s">
        <v>18</v>
      </c>
    </row>
    <row r="376" spans="1:9" ht="46.8">
      <c r="A376" s="15">
        <v>2363727</v>
      </c>
      <c r="B376" s="8" t="s">
        <v>679</v>
      </c>
      <c r="C376" s="35" t="s">
        <v>680</v>
      </c>
      <c r="D376" s="12"/>
      <c r="E376" s="17" t="s">
        <v>14</v>
      </c>
      <c r="F376" s="12"/>
      <c r="G376" s="12"/>
      <c r="H376" s="13">
        <v>85</v>
      </c>
      <c r="I376" s="23" t="s">
        <v>11</v>
      </c>
    </row>
    <row r="377" spans="1:9" ht="109.2">
      <c r="A377" s="15">
        <v>2363750</v>
      </c>
      <c r="B377" s="8" t="s">
        <v>681</v>
      </c>
      <c r="C377" s="35" t="s">
        <v>682</v>
      </c>
      <c r="D377" s="12"/>
      <c r="E377" s="17" t="s">
        <v>14</v>
      </c>
      <c r="F377" s="12"/>
      <c r="G377" s="12"/>
      <c r="H377" s="13">
        <v>85</v>
      </c>
      <c r="I377" s="23" t="s">
        <v>11</v>
      </c>
    </row>
    <row r="378" spans="1:9" ht="46.8">
      <c r="A378" s="15">
        <v>2363850</v>
      </c>
      <c r="B378" s="8" t="s">
        <v>683</v>
      </c>
      <c r="C378" s="35" t="s">
        <v>684</v>
      </c>
      <c r="D378" s="12"/>
      <c r="E378" s="17" t="s">
        <v>14</v>
      </c>
      <c r="F378" s="12"/>
      <c r="G378" s="12"/>
      <c r="H378" s="13">
        <v>85</v>
      </c>
      <c r="I378" s="14" t="s">
        <v>11</v>
      </c>
    </row>
    <row r="379" spans="1:9" ht="46.8">
      <c r="A379" s="15">
        <v>2363876</v>
      </c>
      <c r="B379" s="8" t="s">
        <v>685</v>
      </c>
      <c r="C379" s="35" t="s">
        <v>686</v>
      </c>
      <c r="D379" s="12"/>
      <c r="E379" s="17" t="s">
        <v>14</v>
      </c>
      <c r="F379" s="12"/>
      <c r="G379" s="12"/>
      <c r="H379" s="13">
        <v>85</v>
      </c>
      <c r="I379" s="14" t="s">
        <v>18</v>
      </c>
    </row>
    <row r="380" spans="1:9" ht="31.2">
      <c r="A380" s="15">
        <v>2843056</v>
      </c>
      <c r="B380" s="8" t="s">
        <v>687</v>
      </c>
      <c r="C380" s="35" t="s">
        <v>688</v>
      </c>
      <c r="D380" s="12"/>
      <c r="E380" s="11" t="str">
        <f>HYPERLINK("https://search.ancestryinstitution.com/aird/search/db.aspx?dbid=8945","Ancestry.com")</f>
        <v>Ancestry.com</v>
      </c>
      <c r="F380" s="12"/>
      <c r="G380" s="12"/>
      <c r="H380" s="13">
        <v>85</v>
      </c>
      <c r="I380" s="14" t="s">
        <v>11</v>
      </c>
    </row>
    <row r="381" spans="1:9" ht="31.2">
      <c r="A381" s="15">
        <v>2790508</v>
      </c>
      <c r="B381" s="8" t="s">
        <v>689</v>
      </c>
      <c r="C381" s="35" t="s">
        <v>690</v>
      </c>
      <c r="D381" s="12"/>
      <c r="E381" s="17" t="s">
        <v>14</v>
      </c>
      <c r="F381" s="12"/>
      <c r="G381" s="12"/>
      <c r="H381" s="13">
        <v>85</v>
      </c>
      <c r="I381" s="23" t="s">
        <v>11</v>
      </c>
    </row>
    <row r="382" spans="1:9" ht="46.8">
      <c r="A382" s="15">
        <v>2790556</v>
      </c>
      <c r="B382" s="8" t="s">
        <v>691</v>
      </c>
      <c r="C382" s="35" t="s">
        <v>692</v>
      </c>
      <c r="D382" s="12"/>
      <c r="E382" s="11" t="str">
        <f>HYPERLINK("https://search.ancestryinstitution.com/aird/search/db.aspx?dbid=8842","Ancestry.com")</f>
        <v>Ancestry.com</v>
      </c>
      <c r="F382" s="12"/>
      <c r="G382" s="12"/>
      <c r="H382" s="13">
        <v>85</v>
      </c>
      <c r="I382" s="14" t="s">
        <v>18</v>
      </c>
    </row>
    <row r="383" spans="1:9" ht="31.2">
      <c r="A383" s="15">
        <v>2922370</v>
      </c>
      <c r="B383" s="8" t="s">
        <v>693</v>
      </c>
      <c r="C383" s="35" t="s">
        <v>694</v>
      </c>
      <c r="D383" s="12"/>
      <c r="E383" s="17" t="s">
        <v>14</v>
      </c>
      <c r="F383" s="12"/>
      <c r="G383" s="12"/>
      <c r="H383" s="13">
        <v>85</v>
      </c>
      <c r="I383" s="14" t="s">
        <v>11</v>
      </c>
    </row>
    <row r="384" spans="1:9" ht="46.8">
      <c r="A384" s="15">
        <v>2945809</v>
      </c>
      <c r="B384" s="8" t="s">
        <v>695</v>
      </c>
      <c r="C384" s="16" t="s">
        <v>696</v>
      </c>
      <c r="D384" s="12"/>
      <c r="E384" s="17" t="s">
        <v>14</v>
      </c>
      <c r="F384" s="12"/>
      <c r="G384" s="12"/>
      <c r="H384" s="13">
        <v>85</v>
      </c>
      <c r="I384" s="14" t="s">
        <v>15</v>
      </c>
    </row>
    <row r="385" spans="1:9" ht="31.2">
      <c r="A385" s="15">
        <v>2945797</v>
      </c>
      <c r="B385" s="8" t="s">
        <v>697</v>
      </c>
      <c r="C385" s="35" t="s">
        <v>698</v>
      </c>
      <c r="D385" s="12"/>
      <c r="E385" s="17" t="s">
        <v>14</v>
      </c>
      <c r="F385" s="12"/>
      <c r="G385" s="12"/>
      <c r="H385" s="13">
        <v>85</v>
      </c>
      <c r="I385" s="23" t="s">
        <v>11</v>
      </c>
    </row>
    <row r="386" spans="1:9" ht="31.2">
      <c r="A386" s="15">
        <v>2668663</v>
      </c>
      <c r="B386" s="8" t="s">
        <v>699</v>
      </c>
      <c r="C386" s="16" t="s">
        <v>700</v>
      </c>
      <c r="D386" s="12"/>
      <c r="E386" s="11" t="str">
        <f t="shared" ref="E386:E387" si="7">HYPERLINK("https://search.ancestryinstitution.com/aird/search/db.aspx?dbid=60882","Ancestry.com")</f>
        <v>Ancestry.com</v>
      </c>
      <c r="F386" s="12"/>
      <c r="G386" s="12"/>
      <c r="H386" s="13">
        <v>85</v>
      </c>
      <c r="I386" s="14" t="s">
        <v>15</v>
      </c>
    </row>
    <row r="387" spans="1:9" ht="31.2">
      <c r="A387" s="15">
        <v>2663485</v>
      </c>
      <c r="B387" s="8" t="s">
        <v>701</v>
      </c>
      <c r="C387" s="35" t="s">
        <v>702</v>
      </c>
      <c r="D387" s="12"/>
      <c r="E387" s="11" t="str">
        <f t="shared" si="7"/>
        <v>Ancestry.com</v>
      </c>
      <c r="F387" s="12"/>
      <c r="G387" s="12"/>
      <c r="H387" s="13">
        <v>85</v>
      </c>
      <c r="I387" s="14" t="s">
        <v>18</v>
      </c>
    </row>
    <row r="388" spans="1:9" ht="31.2">
      <c r="A388" s="15">
        <v>2789132</v>
      </c>
      <c r="B388" s="8" t="s">
        <v>703</v>
      </c>
      <c r="C388" s="35" t="s">
        <v>704</v>
      </c>
      <c r="D388" s="12"/>
      <c r="E388" s="11" t="str">
        <f>HYPERLINK("https://search.ancestryinstitution.com/search/db.aspx?dbid=1042","Ancestry.com")</f>
        <v>Ancestry.com</v>
      </c>
      <c r="F388" s="12"/>
      <c r="G388" s="12"/>
      <c r="H388" s="13">
        <v>85</v>
      </c>
      <c r="I388" s="14" t="s">
        <v>18</v>
      </c>
    </row>
    <row r="389" spans="1:9" ht="31.2">
      <c r="A389" s="15">
        <v>2645433</v>
      </c>
      <c r="B389" s="8" t="s">
        <v>705</v>
      </c>
      <c r="C389" s="35" t="s">
        <v>706</v>
      </c>
      <c r="D389" s="12"/>
      <c r="E389" s="28" t="str">
        <f>HYPERLINK("https://www.ancestry.com/search/collections/bpl/","Ancestry.com")</f>
        <v>Ancestry.com</v>
      </c>
      <c r="F389" s="12"/>
      <c r="G389" s="12"/>
      <c r="H389" s="13">
        <v>85</v>
      </c>
      <c r="I389" s="14" t="s">
        <v>11</v>
      </c>
    </row>
    <row r="390" spans="1:9" ht="31.2">
      <c r="A390" s="15">
        <v>2655153</v>
      </c>
      <c r="B390" s="8" t="s">
        <v>707</v>
      </c>
      <c r="C390" s="35" t="s">
        <v>708</v>
      </c>
      <c r="D390" s="12"/>
      <c r="E390" s="17" t="s">
        <v>14</v>
      </c>
      <c r="F390" s="12"/>
      <c r="G390" s="12"/>
      <c r="H390" s="13">
        <v>85</v>
      </c>
      <c r="I390" s="14" t="s">
        <v>18</v>
      </c>
    </row>
    <row r="391" spans="1:9" ht="31.2">
      <c r="A391" s="15">
        <v>2805920</v>
      </c>
      <c r="B391" s="8" t="s">
        <v>709</v>
      </c>
      <c r="C391" s="35" t="s">
        <v>710</v>
      </c>
      <c r="D391" s="12"/>
      <c r="E391" s="17" t="s">
        <v>14</v>
      </c>
      <c r="F391" s="12"/>
      <c r="G391" s="12"/>
      <c r="H391" s="13">
        <v>85</v>
      </c>
      <c r="I391" s="14" t="s">
        <v>11</v>
      </c>
    </row>
    <row r="392" spans="1:9" ht="31.2">
      <c r="A392" s="15">
        <v>2675014</v>
      </c>
      <c r="B392" s="8" t="s">
        <v>711</v>
      </c>
      <c r="C392" s="16" t="s">
        <v>712</v>
      </c>
      <c r="D392" s="12"/>
      <c r="E392" s="17" t="s">
        <v>14</v>
      </c>
      <c r="F392" s="12"/>
      <c r="G392" s="12"/>
      <c r="H392" s="13">
        <v>85</v>
      </c>
      <c r="I392" s="14" t="s">
        <v>15</v>
      </c>
    </row>
    <row r="393" spans="1:9" ht="31.2">
      <c r="A393" s="15">
        <v>2806041</v>
      </c>
      <c r="B393" s="8" t="s">
        <v>713</v>
      </c>
      <c r="C393" s="16" t="s">
        <v>714</v>
      </c>
      <c r="D393" s="12"/>
      <c r="E393" s="28" t="str">
        <f>HYPERLINK("https://search.ancestryinstitution.com/search/db.aspx?dbid=9220","Ancestry.com")</f>
        <v>Ancestry.com</v>
      </c>
      <c r="F393" s="12"/>
      <c r="G393" s="12"/>
      <c r="H393" s="13">
        <v>85</v>
      </c>
      <c r="I393" s="14" t="s">
        <v>15</v>
      </c>
    </row>
    <row r="394" spans="1:9" ht="31.2">
      <c r="A394" s="15">
        <v>2805905</v>
      </c>
      <c r="B394" s="8" t="s">
        <v>715</v>
      </c>
      <c r="C394" s="35" t="s">
        <v>716</v>
      </c>
      <c r="D394" s="12"/>
      <c r="E394" s="11" t="str">
        <f>HYPERLINK("https://search.ancestryinstitution.com/aird/search/db.aspx?dbid=9220","Ancestry.com")</f>
        <v>Ancestry.com</v>
      </c>
      <c r="F394" s="12"/>
      <c r="G394" s="12"/>
      <c r="H394" s="13">
        <v>85</v>
      </c>
      <c r="I394" s="14" t="s">
        <v>18</v>
      </c>
    </row>
    <row r="395" spans="1:9" ht="31.2">
      <c r="A395" s="15">
        <v>2806053</v>
      </c>
      <c r="B395" s="8" t="s">
        <v>717</v>
      </c>
      <c r="C395" s="35" t="s">
        <v>718</v>
      </c>
      <c r="D395" s="12"/>
      <c r="E395" s="17" t="s">
        <v>14</v>
      </c>
      <c r="F395" s="12"/>
      <c r="G395" s="12"/>
      <c r="H395" s="13">
        <v>85</v>
      </c>
      <c r="I395" s="23" t="s">
        <v>11</v>
      </c>
    </row>
    <row r="396" spans="1:9" ht="31.2">
      <c r="A396" s="15">
        <v>2675039</v>
      </c>
      <c r="B396" s="8" t="s">
        <v>719</v>
      </c>
      <c r="C396" s="48" t="s">
        <v>720</v>
      </c>
      <c r="D396" s="12"/>
      <c r="E396" s="17" t="s">
        <v>14</v>
      </c>
      <c r="F396" s="12"/>
      <c r="G396" s="12"/>
      <c r="H396" s="13">
        <v>85</v>
      </c>
      <c r="I396" s="23" t="s">
        <v>11</v>
      </c>
    </row>
    <row r="397" spans="1:9" ht="31.2">
      <c r="A397" s="15">
        <v>2806076</v>
      </c>
      <c r="B397" s="8" t="s">
        <v>721</v>
      </c>
      <c r="C397" s="35" t="s">
        <v>722</v>
      </c>
      <c r="D397" s="12"/>
      <c r="E397" s="11" t="str">
        <f>HYPERLINK("https://search.ancestryinstitution.com/aird/search/db.aspx?dbid=9033","Ancestry.com")</f>
        <v>Ancestry.com</v>
      </c>
      <c r="F397" s="12"/>
      <c r="G397" s="12"/>
      <c r="H397" s="13">
        <v>85</v>
      </c>
      <c r="I397" s="14" t="s">
        <v>11</v>
      </c>
    </row>
    <row r="398" spans="1:9" ht="46.8">
      <c r="A398" s="15">
        <v>2668810</v>
      </c>
      <c r="B398" s="8" t="s">
        <v>723</v>
      </c>
      <c r="C398" s="35" t="s">
        <v>724</v>
      </c>
      <c r="D398" s="12"/>
      <c r="E398" s="11" t="str">
        <f t="shared" ref="E398:E399" si="8">HYPERLINK("https://search.ancestryinstitution.com/aird/search/db.aspx?dbid=9215","Ancestry.com")</f>
        <v>Ancestry.com</v>
      </c>
      <c r="F398" s="12"/>
      <c r="G398" s="12"/>
      <c r="H398" s="13">
        <v>85</v>
      </c>
      <c r="I398" s="14" t="s">
        <v>11</v>
      </c>
    </row>
    <row r="399" spans="1:9" ht="31.2">
      <c r="A399" s="15">
        <v>2668724</v>
      </c>
      <c r="B399" s="8" t="s">
        <v>725</v>
      </c>
      <c r="C399" s="35" t="s">
        <v>726</v>
      </c>
      <c r="D399" s="12"/>
      <c r="E399" s="11" t="str">
        <f t="shared" si="8"/>
        <v>Ancestry.com</v>
      </c>
      <c r="F399" s="12"/>
      <c r="G399" s="12"/>
      <c r="H399" s="13">
        <v>85</v>
      </c>
      <c r="I399" s="14" t="s">
        <v>11</v>
      </c>
    </row>
    <row r="400" spans="1:9" ht="31.2">
      <c r="A400" s="15">
        <v>2668739</v>
      </c>
      <c r="B400" s="8" t="s">
        <v>727</v>
      </c>
      <c r="C400" s="35" t="s">
        <v>728</v>
      </c>
      <c r="D400" s="12"/>
      <c r="E400" s="17" t="s">
        <v>14</v>
      </c>
      <c r="F400" s="12"/>
      <c r="G400" s="12"/>
      <c r="H400" s="13">
        <v>85</v>
      </c>
      <c r="I400" s="23" t="s">
        <v>11</v>
      </c>
    </row>
    <row r="401" spans="1:9" ht="31.2">
      <c r="A401" s="15">
        <v>2668776</v>
      </c>
      <c r="B401" s="8" t="s">
        <v>729</v>
      </c>
      <c r="C401" s="35" t="s">
        <v>730</v>
      </c>
      <c r="D401" s="12"/>
      <c r="E401" s="17" t="s">
        <v>14</v>
      </c>
      <c r="F401" s="12"/>
      <c r="G401" s="12"/>
      <c r="H401" s="13">
        <v>85</v>
      </c>
      <c r="I401" s="23" t="s">
        <v>11</v>
      </c>
    </row>
    <row r="402" spans="1:9" ht="46.8">
      <c r="A402" s="15">
        <v>2669073</v>
      </c>
      <c r="B402" s="8" t="s">
        <v>731</v>
      </c>
      <c r="C402" s="35" t="s">
        <v>732</v>
      </c>
      <c r="D402" s="12"/>
      <c r="E402" s="11" t="str">
        <f>HYPERLINK("https://search.ancestryinstitution.com/aird/search/db.aspx?dbid=8745","Ancestry.com")</f>
        <v>Ancestry.com</v>
      </c>
      <c r="F402" s="12"/>
      <c r="G402" s="12"/>
      <c r="H402" s="13">
        <v>85</v>
      </c>
      <c r="I402" s="14" t="s">
        <v>18</v>
      </c>
    </row>
    <row r="403" spans="1:9" ht="31.2">
      <c r="A403" s="15">
        <v>2669077</v>
      </c>
      <c r="B403" s="8" t="s">
        <v>733</v>
      </c>
      <c r="C403" s="35" t="s">
        <v>734</v>
      </c>
      <c r="D403" s="12"/>
      <c r="E403" s="18" t="s">
        <v>14</v>
      </c>
      <c r="F403" s="12"/>
      <c r="G403" s="12"/>
      <c r="H403" s="13">
        <v>85</v>
      </c>
      <c r="I403" s="23" t="s">
        <v>11</v>
      </c>
    </row>
    <row r="404" spans="1:9" ht="46.8">
      <c r="A404" s="15">
        <v>2674785</v>
      </c>
      <c r="B404" s="8" t="s">
        <v>735</v>
      </c>
      <c r="C404" s="35" t="s">
        <v>736</v>
      </c>
      <c r="D404" s="12"/>
      <c r="E404" s="11" t="str">
        <f>HYPERLINK("https://search.ancestryinstitution.com/aird/search/db.aspx?dbid=8745","Ancestry.com")</f>
        <v>Ancestry.com</v>
      </c>
      <c r="F404" s="12"/>
      <c r="G404" s="12"/>
      <c r="H404" s="13">
        <v>85</v>
      </c>
      <c r="I404" s="14" t="s">
        <v>18</v>
      </c>
    </row>
    <row r="405" spans="1:9" ht="46.8">
      <c r="A405" s="15">
        <v>2806074</v>
      </c>
      <c r="B405" s="8" t="s">
        <v>737</v>
      </c>
      <c r="C405" s="35" t="s">
        <v>738</v>
      </c>
      <c r="D405" s="12"/>
      <c r="E405" s="17" t="s">
        <v>14</v>
      </c>
      <c r="F405" s="12"/>
      <c r="G405" s="12"/>
      <c r="H405" s="13">
        <v>85</v>
      </c>
      <c r="I405" s="14" t="s">
        <v>11</v>
      </c>
    </row>
    <row r="406" spans="1:9" ht="31.2">
      <c r="A406" s="15">
        <v>2663401</v>
      </c>
      <c r="B406" s="8" t="s">
        <v>739</v>
      </c>
      <c r="C406" s="35" t="s">
        <v>740</v>
      </c>
      <c r="D406" s="12"/>
      <c r="E406" s="17" t="s">
        <v>14</v>
      </c>
      <c r="F406" s="12"/>
      <c r="G406" s="12"/>
      <c r="H406" s="13">
        <v>85</v>
      </c>
      <c r="I406" s="14" t="s">
        <v>11</v>
      </c>
    </row>
    <row r="407" spans="1:9" ht="31.2">
      <c r="A407" s="15">
        <v>2842934</v>
      </c>
      <c r="B407" s="8" t="s">
        <v>741</v>
      </c>
      <c r="C407" s="16" t="s">
        <v>742</v>
      </c>
      <c r="D407" s="12"/>
      <c r="E407" s="17" t="s">
        <v>14</v>
      </c>
      <c r="F407" s="12"/>
      <c r="G407" s="12"/>
      <c r="H407" s="13">
        <v>85</v>
      </c>
      <c r="I407" s="14" t="s">
        <v>15</v>
      </c>
    </row>
    <row r="408" spans="1:9" ht="31.2">
      <c r="A408" s="15">
        <v>2842936</v>
      </c>
      <c r="B408" s="8" t="s">
        <v>743</v>
      </c>
      <c r="C408" s="35" t="s">
        <v>744</v>
      </c>
      <c r="D408" s="12"/>
      <c r="E408" s="17" t="s">
        <v>14</v>
      </c>
      <c r="F408" s="12"/>
      <c r="G408" s="12"/>
      <c r="H408" s="13">
        <v>85</v>
      </c>
      <c r="I408" s="14" t="s">
        <v>11</v>
      </c>
    </row>
    <row r="409" spans="1:9" ht="46.8">
      <c r="A409" s="15">
        <v>2331067</v>
      </c>
      <c r="B409" s="8" t="s">
        <v>745</v>
      </c>
      <c r="C409" s="35" t="s">
        <v>746</v>
      </c>
      <c r="D409" s="12"/>
      <c r="E409" s="17" t="s">
        <v>14</v>
      </c>
      <c r="F409" s="12"/>
      <c r="G409" s="12"/>
      <c r="H409" s="13">
        <v>85</v>
      </c>
      <c r="I409" s="23" t="s">
        <v>18</v>
      </c>
    </row>
    <row r="410" spans="1:9" ht="46.8">
      <c r="A410" s="15">
        <v>2364047</v>
      </c>
      <c r="B410" s="8" t="s">
        <v>747</v>
      </c>
      <c r="C410" s="35" t="s">
        <v>748</v>
      </c>
      <c r="D410" s="12"/>
      <c r="E410" s="17" t="s">
        <v>14</v>
      </c>
      <c r="F410" s="12"/>
      <c r="G410" s="12"/>
      <c r="H410" s="13">
        <v>85</v>
      </c>
      <c r="I410" s="23" t="s">
        <v>11</v>
      </c>
    </row>
    <row r="411" spans="1:9" ht="46.8">
      <c r="A411" s="15">
        <v>2827732</v>
      </c>
      <c r="B411" s="8" t="s">
        <v>749</v>
      </c>
      <c r="C411" s="35" t="s">
        <v>750</v>
      </c>
      <c r="D411" s="12"/>
      <c r="E411" s="11" t="str">
        <f>HYPERLINK("https://search.ancestryinstitution.com/aird/search/db.aspx?dbid=8842","Ancestry.com")</f>
        <v>Ancestry.com</v>
      </c>
      <c r="F411" s="12"/>
      <c r="G411" s="12"/>
      <c r="H411" s="13">
        <v>85</v>
      </c>
      <c r="I411" s="14" t="s">
        <v>18</v>
      </c>
    </row>
    <row r="412" spans="1:9" ht="31.2">
      <c r="A412" s="15">
        <v>2790482</v>
      </c>
      <c r="B412" s="8" t="s">
        <v>751</v>
      </c>
      <c r="C412" s="35" t="s">
        <v>752</v>
      </c>
      <c r="D412" s="12"/>
      <c r="E412" s="17" t="s">
        <v>14</v>
      </c>
      <c r="F412" s="12"/>
      <c r="G412" s="12"/>
      <c r="H412" s="13">
        <v>85</v>
      </c>
      <c r="I412" s="23" t="s">
        <v>11</v>
      </c>
    </row>
    <row r="413" spans="1:9" ht="46.8">
      <c r="A413" s="15">
        <v>2788930</v>
      </c>
      <c r="B413" s="8" t="s">
        <v>753</v>
      </c>
      <c r="C413" s="35" t="s">
        <v>754</v>
      </c>
      <c r="D413" s="12"/>
      <c r="E413" s="11" t="str">
        <f>HYPERLINK("https://search.ancestryinstitution.com/aird/search/db.aspx?dbid=7949","Ancestry.com")</f>
        <v>Ancestry.com</v>
      </c>
      <c r="F413" s="12"/>
      <c r="G413" s="12"/>
      <c r="H413" s="13">
        <v>85</v>
      </c>
      <c r="I413" s="14" t="s">
        <v>18</v>
      </c>
    </row>
    <row r="414" spans="1:9" ht="31.2">
      <c r="A414" s="15">
        <v>2788508</v>
      </c>
      <c r="B414" s="8" t="s">
        <v>755</v>
      </c>
      <c r="C414" s="35" t="s">
        <v>756</v>
      </c>
      <c r="D414" s="12"/>
      <c r="E414" s="17" t="s">
        <v>14</v>
      </c>
      <c r="F414" s="12"/>
      <c r="G414" s="12"/>
      <c r="H414" s="13">
        <v>85</v>
      </c>
      <c r="I414" s="14" t="s">
        <v>11</v>
      </c>
    </row>
    <row r="415" spans="1:9" ht="31.2">
      <c r="A415" s="15">
        <v>2774842</v>
      </c>
      <c r="B415" s="8" t="s">
        <v>757</v>
      </c>
      <c r="C415" s="16" t="s">
        <v>758</v>
      </c>
      <c r="D415" s="12"/>
      <c r="E415" s="11" t="str">
        <f>HYPERLINK("https://search.ancestryinstitution.com/aird/search/db.aspx?dbid=8842","Ancestry.com")</f>
        <v>Ancestry.com</v>
      </c>
      <c r="F415" s="12"/>
      <c r="G415" s="12"/>
      <c r="H415" s="13">
        <v>85</v>
      </c>
      <c r="I415" s="14" t="s">
        <v>15</v>
      </c>
    </row>
    <row r="416" spans="1:9" ht="31.2">
      <c r="A416" s="15">
        <v>2641915</v>
      </c>
      <c r="B416" s="8" t="s">
        <v>759</v>
      </c>
      <c r="C416" s="16" t="s">
        <v>760</v>
      </c>
      <c r="D416" s="12"/>
      <c r="E416" s="17" t="s">
        <v>14</v>
      </c>
      <c r="F416" s="12"/>
      <c r="G416" s="12"/>
      <c r="H416" s="13">
        <v>85</v>
      </c>
      <c r="I416" s="14" t="s">
        <v>15</v>
      </c>
    </row>
    <row r="417" spans="1:9" ht="31.2">
      <c r="A417" s="15">
        <v>2641936</v>
      </c>
      <c r="B417" s="8" t="s">
        <v>761</v>
      </c>
      <c r="C417" s="35" t="s">
        <v>762</v>
      </c>
      <c r="D417" s="12"/>
      <c r="E417" s="17" t="s">
        <v>14</v>
      </c>
      <c r="F417" s="12"/>
      <c r="G417" s="12"/>
      <c r="H417" s="13">
        <v>85</v>
      </c>
      <c r="I417" s="14" t="s">
        <v>11</v>
      </c>
    </row>
    <row r="418" spans="1:9" ht="31.2">
      <c r="A418" s="15">
        <v>2642179</v>
      </c>
      <c r="B418" s="8" t="s">
        <v>763</v>
      </c>
      <c r="C418" s="16" t="s">
        <v>764</v>
      </c>
      <c r="D418" s="12"/>
      <c r="E418" s="17" t="s">
        <v>14</v>
      </c>
      <c r="F418" s="12"/>
      <c r="G418" s="12"/>
      <c r="H418" s="13">
        <v>85</v>
      </c>
      <c r="I418" s="14" t="s">
        <v>15</v>
      </c>
    </row>
    <row r="419" spans="1:9" ht="46.8">
      <c r="A419" s="15">
        <v>2642146</v>
      </c>
      <c r="B419" s="8" t="s">
        <v>765</v>
      </c>
      <c r="C419" s="16" t="s">
        <v>766</v>
      </c>
      <c r="D419" s="12"/>
      <c r="E419" s="17" t="s">
        <v>14</v>
      </c>
      <c r="F419" s="12"/>
      <c r="G419" s="12"/>
      <c r="H419" s="13">
        <v>85</v>
      </c>
      <c r="I419" s="14" t="s">
        <v>15</v>
      </c>
    </row>
    <row r="420" spans="1:9" ht="46.8">
      <c r="A420" s="15">
        <v>2642146</v>
      </c>
      <c r="B420" s="8" t="s">
        <v>765</v>
      </c>
      <c r="C420" s="16" t="s">
        <v>767</v>
      </c>
      <c r="D420" s="12"/>
      <c r="E420" s="17" t="s">
        <v>14</v>
      </c>
      <c r="F420" s="12"/>
      <c r="G420" s="12"/>
      <c r="H420" s="13">
        <v>85</v>
      </c>
      <c r="I420" s="14" t="s">
        <v>15</v>
      </c>
    </row>
    <row r="421" spans="1:9" ht="31.2">
      <c r="A421" s="15">
        <v>2642271</v>
      </c>
      <c r="B421" s="8" t="s">
        <v>768</v>
      </c>
      <c r="C421" s="16" t="s">
        <v>769</v>
      </c>
      <c r="D421" s="12"/>
      <c r="E421" s="17" t="s">
        <v>14</v>
      </c>
      <c r="F421" s="12"/>
      <c r="G421" s="12"/>
      <c r="H421" s="13">
        <v>85</v>
      </c>
      <c r="I421" s="14" t="s">
        <v>15</v>
      </c>
    </row>
    <row r="422" spans="1:9" ht="46.8">
      <c r="A422" s="15">
        <v>2641976</v>
      </c>
      <c r="B422" s="8" t="s">
        <v>770</v>
      </c>
      <c r="C422" s="16" t="s">
        <v>771</v>
      </c>
      <c r="D422" s="12"/>
      <c r="E422" s="17" t="s">
        <v>14</v>
      </c>
      <c r="F422" s="12"/>
      <c r="G422" s="12"/>
      <c r="H422" s="13">
        <v>85</v>
      </c>
      <c r="I422" s="14" t="s">
        <v>15</v>
      </c>
    </row>
    <row r="423" spans="1:9" ht="31.2">
      <c r="A423" s="15">
        <v>2897166</v>
      </c>
      <c r="B423" s="8" t="s">
        <v>772</v>
      </c>
      <c r="C423" s="16" t="s">
        <v>773</v>
      </c>
      <c r="D423" s="12"/>
      <c r="E423" s="17" t="s">
        <v>14</v>
      </c>
      <c r="F423" s="12"/>
      <c r="G423" s="12"/>
      <c r="H423" s="13">
        <v>85</v>
      </c>
      <c r="I423" s="14" t="s">
        <v>15</v>
      </c>
    </row>
    <row r="424" spans="1:9" ht="31.2">
      <c r="A424" s="15">
        <v>3053985</v>
      </c>
      <c r="B424" s="8" t="s">
        <v>774</v>
      </c>
      <c r="C424" s="35" t="s">
        <v>775</v>
      </c>
      <c r="D424" s="12"/>
      <c r="E424" s="11" t="str">
        <f>HYPERLINK("https://search.ancestryinstitution.com/aird/search/db.aspx?dbid=8842","Ancestry.com")</f>
        <v>Ancestry.com</v>
      </c>
      <c r="F424" s="12"/>
      <c r="G424" s="12"/>
      <c r="H424" s="13">
        <v>85</v>
      </c>
      <c r="I424" s="14" t="s">
        <v>18</v>
      </c>
    </row>
    <row r="425" spans="1:9" ht="46.8">
      <c r="A425" s="15">
        <v>3054065</v>
      </c>
      <c r="B425" s="8" t="s">
        <v>776</v>
      </c>
      <c r="C425" s="35" t="s">
        <v>777</v>
      </c>
      <c r="D425" s="12"/>
      <c r="E425" s="11" t="str">
        <f>HYPERLINK("https://search.ancestryinstitution.com/aird/search/db.aspx?dbid=9124","Ancestry.com")</f>
        <v>Ancestry.com</v>
      </c>
      <c r="F425" s="12"/>
      <c r="G425" s="12"/>
      <c r="H425" s="13">
        <v>85</v>
      </c>
      <c r="I425" s="14" t="s">
        <v>18</v>
      </c>
    </row>
    <row r="426" spans="1:9" ht="46.8">
      <c r="A426" s="15">
        <v>2838591</v>
      </c>
      <c r="B426" s="8" t="s">
        <v>778</v>
      </c>
      <c r="C426" s="35" t="s">
        <v>779</v>
      </c>
      <c r="D426" s="12"/>
      <c r="E426" s="17" t="s">
        <v>14</v>
      </c>
      <c r="F426" s="11" t="str">
        <f>HYPERLINK("https://www.familysearch.org/search/catalog/2442694?availability=Family%20History%20Library","FamilySearch.org")</f>
        <v>FamilySearch.org</v>
      </c>
      <c r="G426" s="12"/>
      <c r="H426" s="13">
        <v>85</v>
      </c>
      <c r="I426" s="23" t="s">
        <v>11</v>
      </c>
    </row>
    <row r="427" spans="1:9" ht="31.2">
      <c r="A427" s="15">
        <v>2838609</v>
      </c>
      <c r="B427" s="8" t="s">
        <v>780</v>
      </c>
      <c r="C427" s="16" t="s">
        <v>781</v>
      </c>
      <c r="D427" s="12"/>
      <c r="E427" s="17" t="s">
        <v>14</v>
      </c>
      <c r="F427" s="12"/>
      <c r="G427" s="12"/>
      <c r="H427" s="13">
        <v>85</v>
      </c>
      <c r="I427" s="14" t="s">
        <v>15</v>
      </c>
    </row>
    <row r="428" spans="1:9" ht="31.2">
      <c r="A428" s="15">
        <v>2838525</v>
      </c>
      <c r="B428" s="8" t="s">
        <v>782</v>
      </c>
      <c r="C428" s="35" t="s">
        <v>783</v>
      </c>
      <c r="D428" s="12"/>
      <c r="E428" s="11" t="str">
        <f>HYPERLINK("https://search.ancestryinstitution.com/aird/search/db.aspx?dbid=1277","Ancestry.com")</f>
        <v>Ancestry.com</v>
      </c>
      <c r="F428" s="12"/>
      <c r="G428" s="12"/>
      <c r="H428" s="13">
        <v>85</v>
      </c>
      <c r="I428" s="14" t="s">
        <v>18</v>
      </c>
    </row>
    <row r="429" spans="1:9" ht="46.8">
      <c r="A429" s="15">
        <v>2723261</v>
      </c>
      <c r="B429" s="8" t="s">
        <v>784</v>
      </c>
      <c r="C429" s="35" t="s">
        <v>785</v>
      </c>
      <c r="D429" s="12"/>
      <c r="E429" s="18" t="s">
        <v>14</v>
      </c>
      <c r="F429" s="11" t="s">
        <v>43</v>
      </c>
      <c r="G429" s="12"/>
      <c r="H429" s="13">
        <v>85</v>
      </c>
      <c r="I429" s="23" t="s">
        <v>11</v>
      </c>
    </row>
    <row r="430" spans="1:9" ht="31.2">
      <c r="A430" s="15">
        <v>2842853</v>
      </c>
      <c r="B430" s="8" t="s">
        <v>786</v>
      </c>
      <c r="C430" s="54" t="s">
        <v>787</v>
      </c>
      <c r="D430" s="12"/>
      <c r="E430" s="17" t="s">
        <v>14</v>
      </c>
      <c r="F430" s="12"/>
      <c r="G430" s="12"/>
      <c r="H430" s="13">
        <v>85</v>
      </c>
      <c r="I430" s="23" t="s">
        <v>18</v>
      </c>
    </row>
    <row r="431" spans="1:9" ht="46.8">
      <c r="A431" s="15">
        <v>2843051</v>
      </c>
      <c r="B431" s="8" t="s">
        <v>788</v>
      </c>
      <c r="C431" s="16" t="s">
        <v>789</v>
      </c>
      <c r="D431" s="12"/>
      <c r="E431" s="28" t="str">
        <f>HYPERLINK("https://search.ancestryinstitution.com/search/db.aspx?dbid=2257","Ancestry.com")</f>
        <v>Ancestry.com</v>
      </c>
      <c r="F431" s="12"/>
      <c r="G431" s="12"/>
      <c r="H431" s="13">
        <v>85</v>
      </c>
      <c r="I431" s="14" t="s">
        <v>15</v>
      </c>
    </row>
    <row r="432" spans="1:9" ht="31.2">
      <c r="A432" s="15">
        <v>2826585</v>
      </c>
      <c r="B432" s="8" t="s">
        <v>790</v>
      </c>
      <c r="C432" s="16" t="s">
        <v>791</v>
      </c>
      <c r="D432" s="12"/>
      <c r="E432" s="17" t="s">
        <v>14</v>
      </c>
      <c r="F432" s="12"/>
      <c r="G432" s="12"/>
      <c r="H432" s="13">
        <v>85</v>
      </c>
      <c r="I432" s="14" t="s">
        <v>15</v>
      </c>
    </row>
    <row r="433" spans="1:9" ht="31.2">
      <c r="A433" s="15">
        <v>2641665</v>
      </c>
      <c r="B433" s="8" t="s">
        <v>792</v>
      </c>
      <c r="C433" s="16" t="s">
        <v>793</v>
      </c>
      <c r="D433" s="11"/>
      <c r="E433" s="52" t="str">
        <f>HYPERLINK("https://search.ancestryinstitution.com/search/db.aspx?dbid=9119","Ancestry.com")</f>
        <v>Ancestry.com</v>
      </c>
      <c r="F433" s="12"/>
      <c r="G433" s="12"/>
      <c r="H433" s="13">
        <v>85</v>
      </c>
      <c r="I433" s="14" t="s">
        <v>15</v>
      </c>
    </row>
    <row r="434" spans="1:9" ht="31.2">
      <c r="A434" s="15">
        <v>2877802</v>
      </c>
      <c r="B434" s="8" t="s">
        <v>794</v>
      </c>
      <c r="C434" s="16" t="s">
        <v>795</v>
      </c>
      <c r="D434" s="12"/>
      <c r="E434" s="17" t="s">
        <v>14</v>
      </c>
      <c r="F434" s="12"/>
      <c r="G434" s="12"/>
      <c r="H434" s="13">
        <v>85</v>
      </c>
      <c r="I434" s="14" t="s">
        <v>15</v>
      </c>
    </row>
    <row r="435" spans="1:9" ht="31.2">
      <c r="A435" s="15">
        <v>2848463</v>
      </c>
      <c r="B435" s="8" t="s">
        <v>796</v>
      </c>
      <c r="C435" s="35" t="s">
        <v>797</v>
      </c>
      <c r="D435" s="12"/>
      <c r="E435" s="17" t="s">
        <v>14</v>
      </c>
      <c r="F435" s="12"/>
      <c r="G435" s="12"/>
      <c r="H435" s="13">
        <v>85</v>
      </c>
      <c r="I435" s="14" t="s">
        <v>11</v>
      </c>
    </row>
    <row r="436" spans="1:9" ht="31.2">
      <c r="A436" s="15">
        <v>2848422</v>
      </c>
      <c r="B436" s="8" t="s">
        <v>798</v>
      </c>
      <c r="C436" s="16" t="s">
        <v>799</v>
      </c>
      <c r="D436" s="12"/>
      <c r="E436" s="17" t="s">
        <v>14</v>
      </c>
      <c r="F436" s="12"/>
      <c r="G436" s="12"/>
      <c r="H436" s="13">
        <v>85</v>
      </c>
      <c r="I436" s="14" t="s">
        <v>15</v>
      </c>
    </row>
    <row r="437" spans="1:9" ht="46.8">
      <c r="A437" s="15">
        <v>2848492</v>
      </c>
      <c r="B437" s="8" t="s">
        <v>800</v>
      </c>
      <c r="C437" s="35" t="s">
        <v>801</v>
      </c>
      <c r="D437" s="12"/>
      <c r="E437" s="17" t="s">
        <v>14</v>
      </c>
      <c r="F437" s="12"/>
      <c r="G437" s="12"/>
      <c r="H437" s="13">
        <v>85</v>
      </c>
      <c r="I437" s="14" t="s">
        <v>18</v>
      </c>
    </row>
    <row r="438" spans="1:9" ht="46.8">
      <c r="A438" s="15">
        <v>3020750</v>
      </c>
      <c r="B438" s="8" t="s">
        <v>802</v>
      </c>
      <c r="C438" s="16" t="s">
        <v>803</v>
      </c>
      <c r="D438" s="12"/>
      <c r="E438" s="11" t="str">
        <f>HYPERLINK("https://search.ancestryinstitution.com/aird/search/db.aspx?dbid=1277","Ancestry.com")</f>
        <v>Ancestry.com</v>
      </c>
      <c r="F438" s="12"/>
      <c r="G438" s="12"/>
      <c r="H438" s="13">
        <v>85</v>
      </c>
      <c r="I438" s="14" t="s">
        <v>15</v>
      </c>
    </row>
    <row r="439" spans="1:9" ht="31.2">
      <c r="A439" s="15">
        <v>2861741</v>
      </c>
      <c r="B439" s="8" t="s">
        <v>804</v>
      </c>
      <c r="C439" s="16" t="s">
        <v>805</v>
      </c>
      <c r="D439" s="12"/>
      <c r="E439" s="17" t="s">
        <v>14</v>
      </c>
      <c r="F439" s="12"/>
      <c r="G439" s="12"/>
      <c r="H439" s="13">
        <v>85</v>
      </c>
      <c r="I439" s="14" t="s">
        <v>15</v>
      </c>
    </row>
    <row r="440" spans="1:9" ht="31.2">
      <c r="A440" s="15">
        <v>2884841</v>
      </c>
      <c r="B440" s="8" t="s">
        <v>806</v>
      </c>
      <c r="C440" s="35" t="s">
        <v>807</v>
      </c>
      <c r="D440" s="12"/>
      <c r="E440" s="17" t="s">
        <v>14</v>
      </c>
      <c r="F440" s="12"/>
      <c r="G440" s="12"/>
      <c r="H440" s="13">
        <v>85</v>
      </c>
      <c r="I440" s="14" t="s">
        <v>18</v>
      </c>
    </row>
    <row r="441" spans="1:9" ht="46.8">
      <c r="A441" s="15">
        <v>3650782</v>
      </c>
      <c r="B441" s="8" t="s">
        <v>808</v>
      </c>
      <c r="C441" s="16" t="s">
        <v>809</v>
      </c>
      <c r="D441" s="12"/>
      <c r="E441" s="11" t="str">
        <f>HYPERLINK("https://search.ancestryinstitution.com/aird/search/db.aspx?dbid=1277","Ancestry.com")</f>
        <v>Ancestry.com</v>
      </c>
      <c r="F441" s="12"/>
      <c r="G441" s="12"/>
      <c r="H441" s="13">
        <v>85</v>
      </c>
      <c r="I441" s="14" t="s">
        <v>15</v>
      </c>
    </row>
    <row r="442" spans="1:9" ht="31.2">
      <c r="A442" s="15">
        <v>2867034</v>
      </c>
      <c r="B442" s="8" t="s">
        <v>810</v>
      </c>
      <c r="C442" s="35" t="s">
        <v>811</v>
      </c>
      <c r="D442" s="12"/>
      <c r="E442" s="17" t="s">
        <v>14</v>
      </c>
      <c r="F442" s="12"/>
      <c r="G442" s="12"/>
      <c r="H442" s="13">
        <v>85</v>
      </c>
      <c r="I442" s="14" t="s">
        <v>18</v>
      </c>
    </row>
    <row r="443" spans="1:9" ht="31.2">
      <c r="A443" s="15">
        <v>2867069</v>
      </c>
      <c r="B443" s="8" t="s">
        <v>812</v>
      </c>
      <c r="C443" s="16" t="s">
        <v>813</v>
      </c>
      <c r="D443" s="11"/>
      <c r="E443" s="17" t="s">
        <v>14</v>
      </c>
      <c r="F443" s="12"/>
      <c r="G443" s="12"/>
      <c r="H443" s="13">
        <v>85</v>
      </c>
      <c r="I443" s="14" t="s">
        <v>15</v>
      </c>
    </row>
    <row r="444" spans="1:9" ht="31.2">
      <c r="A444" s="15">
        <v>2924301</v>
      </c>
      <c r="B444" s="8" t="s">
        <v>814</v>
      </c>
      <c r="C444" s="16" t="s">
        <v>815</v>
      </c>
      <c r="D444" s="12"/>
      <c r="E444" s="17" t="s">
        <v>14</v>
      </c>
      <c r="F444" s="12"/>
      <c r="G444" s="12"/>
      <c r="H444" s="13">
        <v>85</v>
      </c>
      <c r="I444" s="14" t="s">
        <v>15</v>
      </c>
    </row>
    <row r="445" spans="1:9" ht="31.2">
      <c r="A445" s="15">
        <v>2922418</v>
      </c>
      <c r="B445" s="8" t="s">
        <v>816</v>
      </c>
      <c r="C445" s="16" t="s">
        <v>817</v>
      </c>
      <c r="D445" s="12"/>
      <c r="E445" s="11" t="str">
        <f>HYPERLINK("https://search.ancestryinstitution.com/aird/search/db.aspx?dbid=9033","Ancestry.com")</f>
        <v>Ancestry.com</v>
      </c>
      <c r="F445" s="12"/>
      <c r="G445" s="12"/>
      <c r="H445" s="13">
        <v>85</v>
      </c>
      <c r="I445" s="14" t="s">
        <v>15</v>
      </c>
    </row>
    <row r="446" spans="1:9" ht="46.8">
      <c r="A446" s="15">
        <v>2924318</v>
      </c>
      <c r="B446" s="8" t="s">
        <v>818</v>
      </c>
      <c r="C446" s="35" t="s">
        <v>819</v>
      </c>
      <c r="D446" s="12"/>
      <c r="E446" s="17" t="s">
        <v>14</v>
      </c>
      <c r="F446" s="12"/>
      <c r="G446" s="12"/>
      <c r="H446" s="13">
        <v>85</v>
      </c>
      <c r="I446" s="14" t="s">
        <v>18</v>
      </c>
    </row>
    <row r="447" spans="1:9" ht="31.2">
      <c r="A447" s="15">
        <v>3020764</v>
      </c>
      <c r="B447" s="8" t="s">
        <v>820</v>
      </c>
      <c r="C447" s="16" t="s">
        <v>821</v>
      </c>
      <c r="D447" s="12"/>
      <c r="E447" s="17" t="s">
        <v>14</v>
      </c>
      <c r="F447" s="12"/>
      <c r="G447" s="12"/>
      <c r="H447" s="13">
        <v>85</v>
      </c>
      <c r="I447" s="14" t="s">
        <v>15</v>
      </c>
    </row>
    <row r="448" spans="1:9" ht="31.2">
      <c r="A448" s="15">
        <v>3033327</v>
      </c>
      <c r="B448" s="8" t="s">
        <v>822</v>
      </c>
      <c r="C448" s="16" t="s">
        <v>823</v>
      </c>
      <c r="D448" s="12"/>
      <c r="E448" s="17" t="s">
        <v>14</v>
      </c>
      <c r="F448" s="12"/>
      <c r="G448" s="12"/>
      <c r="H448" s="13">
        <v>85</v>
      </c>
      <c r="I448" s="14" t="s">
        <v>15</v>
      </c>
    </row>
    <row r="449" spans="1:9" ht="31.2">
      <c r="A449" s="15">
        <v>3039651</v>
      </c>
      <c r="B449" s="8" t="s">
        <v>824</v>
      </c>
      <c r="C449" s="35" t="s">
        <v>825</v>
      </c>
      <c r="D449" s="12"/>
      <c r="E449" s="11" t="str">
        <f>HYPERLINK("https://search.ancestryinstitution.com/aird/search/db.aspx?dbid=9033","Ancestry.com")</f>
        <v>Ancestry.com</v>
      </c>
      <c r="F449" s="12"/>
      <c r="G449" s="12"/>
      <c r="H449" s="13">
        <v>85</v>
      </c>
      <c r="I449" s="14" t="s">
        <v>11</v>
      </c>
    </row>
    <row r="450" spans="1:9" ht="46.8">
      <c r="A450" s="15">
        <v>4076494</v>
      </c>
      <c r="B450" s="8" t="s">
        <v>826</v>
      </c>
      <c r="C450" s="16" t="s">
        <v>827</v>
      </c>
      <c r="D450" s="11"/>
      <c r="E450" s="19" t="s">
        <v>14</v>
      </c>
      <c r="F450" s="12"/>
      <c r="G450" s="12"/>
      <c r="H450" s="13">
        <v>85</v>
      </c>
      <c r="I450" s="14" t="s">
        <v>15</v>
      </c>
    </row>
    <row r="451" spans="1:9" ht="46.8">
      <c r="A451" s="15">
        <v>2848355</v>
      </c>
      <c r="B451" s="8" t="s">
        <v>828</v>
      </c>
      <c r="C451" s="35" t="s">
        <v>829</v>
      </c>
      <c r="D451" s="12"/>
      <c r="E451" s="17" t="s">
        <v>14</v>
      </c>
      <c r="F451" s="12"/>
      <c r="G451" s="12"/>
      <c r="H451" s="13">
        <v>85</v>
      </c>
      <c r="I451" s="14" t="s">
        <v>18</v>
      </c>
    </row>
    <row r="452" spans="1:9" ht="31.2">
      <c r="A452" s="15">
        <v>2912199</v>
      </c>
      <c r="B452" s="8" t="s">
        <v>830</v>
      </c>
      <c r="C452" s="16" t="s">
        <v>831</v>
      </c>
      <c r="D452" s="12"/>
      <c r="E452" s="17" t="s">
        <v>14</v>
      </c>
      <c r="F452" s="12"/>
      <c r="G452" s="12"/>
      <c r="H452" s="13">
        <v>85</v>
      </c>
      <c r="I452" s="14" t="s">
        <v>15</v>
      </c>
    </row>
    <row r="453" spans="1:9" ht="46.8">
      <c r="A453" s="15">
        <v>4492481</v>
      </c>
      <c r="B453" s="8" t="s">
        <v>832</v>
      </c>
      <c r="C453" s="48" t="s">
        <v>833</v>
      </c>
      <c r="D453" s="12"/>
      <c r="E453" s="17" t="s">
        <v>14</v>
      </c>
      <c r="F453" s="11" t="str">
        <f>HYPERLINK("https://www.familysearch.org/search/catalog/2443340?availability=Family%20History%20Library","FamilySearch.org")</f>
        <v>FamilySearch.org</v>
      </c>
      <c r="G453" s="12"/>
      <c r="H453" s="13">
        <v>85</v>
      </c>
      <c r="I453" s="23" t="s">
        <v>11</v>
      </c>
    </row>
    <row r="454" spans="1:9" ht="46.8">
      <c r="A454" s="15">
        <v>2945714</v>
      </c>
      <c r="B454" s="8" t="s">
        <v>834</v>
      </c>
      <c r="C454" s="16" t="s">
        <v>835</v>
      </c>
      <c r="D454" s="11"/>
      <c r="E454" s="19" t="s">
        <v>14</v>
      </c>
      <c r="F454" s="12"/>
      <c r="G454" s="12"/>
      <c r="H454" s="13">
        <v>85</v>
      </c>
      <c r="I454" s="14" t="s">
        <v>15</v>
      </c>
    </row>
    <row r="455" spans="1:9" ht="31.2">
      <c r="A455" s="15">
        <v>2906038</v>
      </c>
      <c r="B455" s="8" t="s">
        <v>836</v>
      </c>
      <c r="C455" s="35" t="s">
        <v>837</v>
      </c>
      <c r="D455" s="12"/>
      <c r="E455" s="11" t="str">
        <f>HYPERLINK("https://search.ancestryinstitution.com/aird/search/db.aspx?dbid=8842","Ancestry.com")</f>
        <v>Ancestry.com</v>
      </c>
      <c r="F455" s="12"/>
      <c r="G455" s="12"/>
      <c r="H455" s="13">
        <v>85</v>
      </c>
      <c r="I455" s="14" t="s">
        <v>18</v>
      </c>
    </row>
    <row r="456" spans="1:9" ht="46.8">
      <c r="A456" s="15">
        <v>2900588</v>
      </c>
      <c r="B456" s="8" t="s">
        <v>838</v>
      </c>
      <c r="C456" s="16" t="s">
        <v>839</v>
      </c>
      <c r="D456" s="12"/>
      <c r="E456" s="17" t="s">
        <v>14</v>
      </c>
      <c r="F456" s="12"/>
      <c r="G456" s="12"/>
      <c r="H456" s="13">
        <v>85</v>
      </c>
      <c r="I456" s="14" t="s">
        <v>15</v>
      </c>
    </row>
    <row r="457" spans="1:9" ht="46.8">
      <c r="A457" s="15">
        <v>3020757</v>
      </c>
      <c r="B457" s="8" t="s">
        <v>840</v>
      </c>
      <c r="C457" s="16" t="s">
        <v>841</v>
      </c>
      <c r="D457" s="12"/>
      <c r="E457" s="17" t="s">
        <v>14</v>
      </c>
      <c r="F457" s="12"/>
      <c r="G457" s="12"/>
      <c r="H457" s="13">
        <v>85</v>
      </c>
      <c r="I457" s="14" t="s">
        <v>15</v>
      </c>
    </row>
    <row r="458" spans="1:9" ht="31.2">
      <c r="A458" s="15">
        <v>3020760</v>
      </c>
      <c r="B458" s="8" t="s">
        <v>842</v>
      </c>
      <c r="C458" s="16" t="s">
        <v>843</v>
      </c>
      <c r="D458" s="12"/>
      <c r="E458" s="17" t="s">
        <v>14</v>
      </c>
      <c r="F458" s="12"/>
      <c r="G458" s="12"/>
      <c r="H458" s="13">
        <v>85</v>
      </c>
      <c r="I458" s="14" t="s">
        <v>15</v>
      </c>
    </row>
    <row r="459" spans="1:9" ht="31.2">
      <c r="A459" s="15">
        <v>3020769</v>
      </c>
      <c r="B459" s="8" t="s">
        <v>844</v>
      </c>
      <c r="C459" s="35" t="s">
        <v>845</v>
      </c>
      <c r="D459" s="12"/>
      <c r="E459" s="28" t="str">
        <f>HYPERLINK("https://search.ancestryinstitution.com/aird/search/db.aspx?dbid=1075","Ancestry.com")</f>
        <v>Ancestry.com</v>
      </c>
      <c r="F459" s="12"/>
      <c r="G459" s="12"/>
      <c r="H459" s="13">
        <v>85</v>
      </c>
      <c r="I459" s="14" t="s">
        <v>11</v>
      </c>
    </row>
    <row r="460" spans="1:9" ht="62.4">
      <c r="A460" s="15">
        <v>2945984</v>
      </c>
      <c r="B460" s="8" t="s">
        <v>846</v>
      </c>
      <c r="C460" s="35" t="s">
        <v>847</v>
      </c>
      <c r="D460" s="12"/>
      <c r="E460" s="11" t="str">
        <f>HYPERLINK("https://search.ancestryinstitution.com/aird/search/db.aspx?dbid=8945","Ancestry.com")</f>
        <v>Ancestry.com</v>
      </c>
      <c r="F460" s="12"/>
      <c r="G460" s="12"/>
      <c r="H460" s="13">
        <v>85</v>
      </c>
      <c r="I460" s="14" t="s">
        <v>11</v>
      </c>
    </row>
    <row r="461" spans="1:9" ht="31.2">
      <c r="A461" s="15">
        <v>2945993</v>
      </c>
      <c r="B461" s="8" t="s">
        <v>848</v>
      </c>
      <c r="C461" s="16" t="s">
        <v>849</v>
      </c>
      <c r="D461" s="12"/>
      <c r="E461" s="17" t="s">
        <v>14</v>
      </c>
      <c r="F461" s="12"/>
      <c r="G461" s="12"/>
      <c r="H461" s="13">
        <v>85</v>
      </c>
      <c r="I461" s="14" t="s">
        <v>15</v>
      </c>
    </row>
    <row r="462" spans="1:9" ht="31.2">
      <c r="A462" s="15">
        <v>2945990</v>
      </c>
      <c r="B462" s="8" t="s">
        <v>850</v>
      </c>
      <c r="C462" s="16" t="s">
        <v>851</v>
      </c>
      <c r="D462" s="12"/>
      <c r="E462" s="17" t="s">
        <v>14</v>
      </c>
      <c r="F462" s="12"/>
      <c r="G462" s="12"/>
      <c r="H462" s="13">
        <v>85</v>
      </c>
      <c r="I462" s="14" t="s">
        <v>15</v>
      </c>
    </row>
    <row r="463" spans="1:9" ht="46.8">
      <c r="A463" s="15">
        <v>3256771</v>
      </c>
      <c r="B463" s="8" t="s">
        <v>852</v>
      </c>
      <c r="C463" s="35" t="s">
        <v>853</v>
      </c>
      <c r="D463" s="12"/>
      <c r="E463" s="11" t="str">
        <f>HYPERLINK("https://search.ancestryinstitution.com/aird/search/db.aspx?dbid=60882","Ancestry.com")</f>
        <v>Ancestry.com</v>
      </c>
      <c r="F463" s="12"/>
      <c r="G463" s="12"/>
      <c r="H463" s="13">
        <v>85</v>
      </c>
      <c r="I463" s="14" t="s">
        <v>18</v>
      </c>
    </row>
    <row r="464" spans="1:9" ht="46.8">
      <c r="A464" s="15">
        <v>2953588</v>
      </c>
      <c r="B464" s="8" t="s">
        <v>854</v>
      </c>
      <c r="C464" s="35" t="s">
        <v>855</v>
      </c>
      <c r="D464" s="12"/>
      <c r="E464" s="11" t="str">
        <f>HYPERLINK("https://search.ancestryinstitution.com/aird/search/db.aspx?dbid=8945","Ancestry.com")</f>
        <v>Ancestry.com</v>
      </c>
      <c r="F464" s="12"/>
      <c r="G464" s="12"/>
      <c r="H464" s="13">
        <v>85</v>
      </c>
      <c r="I464" s="14" t="s">
        <v>18</v>
      </c>
    </row>
    <row r="465" spans="1:9" ht="31.2">
      <c r="A465" s="15">
        <v>2767302</v>
      </c>
      <c r="B465" s="8" t="s">
        <v>856</v>
      </c>
      <c r="C465" s="35" t="s">
        <v>857</v>
      </c>
      <c r="D465" s="12"/>
      <c r="E465" s="17" t="s">
        <v>14</v>
      </c>
      <c r="F465" s="12"/>
      <c r="G465" s="12"/>
      <c r="H465" s="13">
        <v>85</v>
      </c>
      <c r="I465" s="14" t="s">
        <v>11</v>
      </c>
    </row>
    <row r="466" spans="1:9" ht="46.8">
      <c r="A466" s="15">
        <v>2788988</v>
      </c>
      <c r="B466" s="8" t="s">
        <v>858</v>
      </c>
      <c r="C466" s="35" t="s">
        <v>859</v>
      </c>
      <c r="D466" s="12"/>
      <c r="E466" s="11" t="str">
        <f>HYPERLINK("https://search.ancestryinstitution.com/aird/search/db.aspx?dbid=60882","Ancestry.com")</f>
        <v>Ancestry.com</v>
      </c>
      <c r="F466" s="12"/>
      <c r="G466" s="12"/>
      <c r="H466" s="13">
        <v>85</v>
      </c>
      <c r="I466" s="14" t="s">
        <v>11</v>
      </c>
    </row>
    <row r="467" spans="1:9" ht="31.2">
      <c r="A467" s="15">
        <v>2645524</v>
      </c>
      <c r="B467" s="8" t="s">
        <v>860</v>
      </c>
      <c r="C467" s="35" t="s">
        <v>861</v>
      </c>
      <c r="D467" s="12"/>
      <c r="E467" s="17" t="s">
        <v>14</v>
      </c>
      <c r="F467" s="12"/>
      <c r="G467" s="12"/>
      <c r="H467" s="13">
        <v>85</v>
      </c>
      <c r="I467" s="23" t="s">
        <v>11</v>
      </c>
    </row>
    <row r="468" spans="1:9" ht="46.8">
      <c r="A468" s="15">
        <v>2645540</v>
      </c>
      <c r="B468" s="8" t="s">
        <v>862</v>
      </c>
      <c r="C468" s="35" t="s">
        <v>863</v>
      </c>
      <c r="D468" s="12"/>
      <c r="E468" s="17" t="s">
        <v>14</v>
      </c>
      <c r="F468" s="12"/>
      <c r="G468" s="12"/>
      <c r="H468" s="13">
        <v>85</v>
      </c>
      <c r="I468" s="14" t="s">
        <v>11</v>
      </c>
    </row>
    <row r="469" spans="1:9" ht="46.8">
      <c r="A469" s="15">
        <v>2645661</v>
      </c>
      <c r="B469" s="8" t="s">
        <v>864</v>
      </c>
      <c r="C469" s="16" t="s">
        <v>865</v>
      </c>
      <c r="D469" s="12"/>
      <c r="E469" s="17" t="s">
        <v>14</v>
      </c>
      <c r="F469" s="12"/>
      <c r="G469" s="12"/>
      <c r="H469" s="13">
        <v>85</v>
      </c>
      <c r="I469" s="14" t="s">
        <v>15</v>
      </c>
    </row>
    <row r="470" spans="1:9" ht="46.8">
      <c r="A470" s="15">
        <v>2735546</v>
      </c>
      <c r="B470" s="8" t="s">
        <v>866</v>
      </c>
      <c r="C470" s="35" t="s">
        <v>867</v>
      </c>
      <c r="D470" s="12"/>
      <c r="E470" s="17" t="s">
        <v>14</v>
      </c>
      <c r="F470" s="12"/>
      <c r="G470" s="12"/>
      <c r="H470" s="13">
        <v>85</v>
      </c>
      <c r="I470" s="14" t="s">
        <v>18</v>
      </c>
    </row>
    <row r="471" spans="1:9" ht="31.2">
      <c r="A471" s="15">
        <v>2825528</v>
      </c>
      <c r="B471" s="8" t="s">
        <v>868</v>
      </c>
      <c r="C471" s="35" t="s">
        <v>869</v>
      </c>
      <c r="D471" s="12"/>
      <c r="E471" s="17" t="s">
        <v>14</v>
      </c>
      <c r="F471" s="12"/>
      <c r="G471" s="12"/>
      <c r="H471" s="13">
        <v>85</v>
      </c>
      <c r="I471" s="14" t="s">
        <v>18</v>
      </c>
    </row>
    <row r="472" spans="1:9" ht="46.8">
      <c r="A472" s="15">
        <v>2734701</v>
      </c>
      <c r="B472" s="8" t="s">
        <v>870</v>
      </c>
      <c r="C472" s="35" t="s">
        <v>871</v>
      </c>
      <c r="D472" s="12"/>
      <c r="E472" s="17" t="s">
        <v>14</v>
      </c>
      <c r="F472" s="12"/>
      <c r="G472" s="12"/>
      <c r="H472" s="13">
        <v>85</v>
      </c>
      <c r="I472" s="14" t="s">
        <v>18</v>
      </c>
    </row>
    <row r="473" spans="1:9" ht="46.8">
      <c r="A473" s="15">
        <v>2825730</v>
      </c>
      <c r="B473" s="8" t="s">
        <v>872</v>
      </c>
      <c r="C473" s="16" t="s">
        <v>873</v>
      </c>
      <c r="D473" s="12"/>
      <c r="E473" s="17" t="s">
        <v>14</v>
      </c>
      <c r="F473" s="12"/>
      <c r="G473" s="12"/>
      <c r="H473" s="13">
        <v>85</v>
      </c>
      <c r="I473" s="14" t="s">
        <v>15</v>
      </c>
    </row>
    <row r="474" spans="1:9" ht="31.2">
      <c r="A474" s="15">
        <v>2825766</v>
      </c>
      <c r="B474" s="8" t="s">
        <v>874</v>
      </c>
      <c r="C474" s="35" t="s">
        <v>875</v>
      </c>
      <c r="D474" s="12"/>
      <c r="E474" s="17" t="s">
        <v>14</v>
      </c>
      <c r="F474" s="12"/>
      <c r="G474" s="12"/>
      <c r="H474" s="13">
        <v>85</v>
      </c>
      <c r="I474" s="14" t="s">
        <v>11</v>
      </c>
    </row>
    <row r="475" spans="1:9" ht="31.2">
      <c r="A475" s="15">
        <v>2826629</v>
      </c>
      <c r="B475" s="8" t="s">
        <v>876</v>
      </c>
      <c r="C475" s="35" t="s">
        <v>877</v>
      </c>
      <c r="D475" s="12"/>
      <c r="E475" s="17" t="s">
        <v>14</v>
      </c>
      <c r="F475" s="12"/>
      <c r="G475" s="12"/>
      <c r="H475" s="13">
        <v>85</v>
      </c>
      <c r="I475" s="23" t="s">
        <v>11</v>
      </c>
    </row>
    <row r="476" spans="1:9" ht="31.2">
      <c r="A476" s="15">
        <v>2679420</v>
      </c>
      <c r="B476" s="8" t="s">
        <v>878</v>
      </c>
      <c r="C476" s="35" t="s">
        <v>879</v>
      </c>
      <c r="D476" s="12"/>
      <c r="E476" s="17" t="s">
        <v>14</v>
      </c>
      <c r="F476" s="12"/>
      <c r="G476" s="12"/>
      <c r="H476" s="13">
        <v>85</v>
      </c>
      <c r="I476" s="14" t="s">
        <v>18</v>
      </c>
    </row>
    <row r="477" spans="1:9" ht="46.8">
      <c r="A477" s="15">
        <v>2839438</v>
      </c>
      <c r="B477" s="8" t="s">
        <v>880</v>
      </c>
      <c r="C477" s="35" t="s">
        <v>881</v>
      </c>
      <c r="D477" s="12"/>
      <c r="E477" s="17" t="s">
        <v>14</v>
      </c>
      <c r="F477" s="12"/>
      <c r="G477" s="12"/>
      <c r="H477" s="13">
        <v>85</v>
      </c>
      <c r="I477" s="14" t="s">
        <v>11</v>
      </c>
    </row>
    <row r="478" spans="1:9" ht="46.8">
      <c r="A478" s="15">
        <v>2790535</v>
      </c>
      <c r="B478" s="8" t="s">
        <v>882</v>
      </c>
      <c r="C478" s="16" t="s">
        <v>883</v>
      </c>
      <c r="D478" s="12"/>
      <c r="E478" s="17" t="s">
        <v>14</v>
      </c>
      <c r="F478" s="12"/>
      <c r="G478" s="12"/>
      <c r="H478" s="13">
        <v>85</v>
      </c>
      <c r="I478" s="14" t="s">
        <v>15</v>
      </c>
    </row>
    <row r="479" spans="1:9" ht="46.8">
      <c r="A479" s="15">
        <v>2790543</v>
      </c>
      <c r="B479" s="8" t="s">
        <v>884</v>
      </c>
      <c r="C479" s="16" t="s">
        <v>885</v>
      </c>
      <c r="D479" s="12"/>
      <c r="E479" s="17" t="s">
        <v>14</v>
      </c>
      <c r="F479" s="12"/>
      <c r="G479" s="12"/>
      <c r="H479" s="13">
        <v>85</v>
      </c>
      <c r="I479" s="14" t="s">
        <v>15</v>
      </c>
    </row>
    <row r="480" spans="1:9" ht="46.8">
      <c r="A480" s="15">
        <v>2790555</v>
      </c>
      <c r="B480" s="8" t="s">
        <v>886</v>
      </c>
      <c r="C480" s="34" t="s">
        <v>887</v>
      </c>
      <c r="D480" s="12"/>
      <c r="E480" s="17" t="s">
        <v>14</v>
      </c>
      <c r="F480" s="12"/>
      <c r="G480" s="12"/>
      <c r="H480" s="13">
        <v>85</v>
      </c>
      <c r="I480" s="14" t="s">
        <v>18</v>
      </c>
    </row>
    <row r="481" spans="1:9" ht="31.2">
      <c r="A481" s="15">
        <v>2723174</v>
      </c>
      <c r="B481" s="8" t="s">
        <v>888</v>
      </c>
      <c r="C481" s="35" t="s">
        <v>889</v>
      </c>
      <c r="D481" s="12"/>
      <c r="E481" s="17" t="s">
        <v>14</v>
      </c>
      <c r="F481" s="12"/>
      <c r="G481" s="12"/>
      <c r="H481" s="13">
        <v>85</v>
      </c>
      <c r="I481" s="14" t="s">
        <v>18</v>
      </c>
    </row>
    <row r="482" spans="1:9" ht="46.8">
      <c r="A482" s="15">
        <v>2694716</v>
      </c>
      <c r="B482" s="8" t="s">
        <v>890</v>
      </c>
      <c r="C482" s="34" t="s">
        <v>891</v>
      </c>
      <c r="D482" s="12"/>
      <c r="E482" s="17" t="s">
        <v>14</v>
      </c>
      <c r="F482" s="12"/>
      <c r="G482" s="12"/>
      <c r="H482" s="13">
        <v>85</v>
      </c>
      <c r="I482" s="14" t="s">
        <v>892</v>
      </c>
    </row>
    <row r="483" spans="1:9" ht="31.2">
      <c r="A483" s="15">
        <v>2734812</v>
      </c>
      <c r="B483" s="8" t="s">
        <v>893</v>
      </c>
      <c r="C483" s="35" t="s">
        <v>894</v>
      </c>
      <c r="D483" s="12"/>
      <c r="E483" s="17" t="s">
        <v>14</v>
      </c>
      <c r="F483" s="12"/>
      <c r="G483" s="12"/>
      <c r="H483" s="13">
        <v>85</v>
      </c>
      <c r="I483" s="14" t="s">
        <v>11</v>
      </c>
    </row>
    <row r="484" spans="1:9" ht="31.2">
      <c r="A484" s="15">
        <v>2736965</v>
      </c>
      <c r="B484" s="8" t="s">
        <v>895</v>
      </c>
      <c r="C484" s="16" t="s">
        <v>896</v>
      </c>
      <c r="D484" s="12"/>
      <c r="E484" s="17" t="s">
        <v>14</v>
      </c>
      <c r="F484" s="12"/>
      <c r="G484" s="12"/>
      <c r="H484" s="13">
        <v>85</v>
      </c>
      <c r="I484" s="14" t="s">
        <v>15</v>
      </c>
    </row>
    <row r="485" spans="1:9" ht="46.8">
      <c r="A485" s="15">
        <v>2842937</v>
      </c>
      <c r="B485" s="8" t="s">
        <v>897</v>
      </c>
      <c r="C485" s="35" t="s">
        <v>898</v>
      </c>
      <c r="D485" s="12"/>
      <c r="E485" s="11" t="str">
        <f>HYPERLINK("https://search.ancestryinstitution.com/aird/search/db.aspx?dbid=60882","Ancestry.com")</f>
        <v>Ancestry.com</v>
      </c>
      <c r="F485" s="12"/>
      <c r="G485" s="12"/>
      <c r="H485" s="13">
        <v>85</v>
      </c>
      <c r="I485" s="14" t="s">
        <v>18</v>
      </c>
    </row>
    <row r="486" spans="1:9" ht="31.2">
      <c r="A486" s="15">
        <v>2825557</v>
      </c>
      <c r="B486" s="8" t="s">
        <v>899</v>
      </c>
      <c r="C486" s="35" t="s">
        <v>900</v>
      </c>
      <c r="D486" s="12"/>
      <c r="E486" s="18" t="s">
        <v>14</v>
      </c>
      <c r="F486" s="12"/>
      <c r="G486" s="12"/>
      <c r="H486" s="13">
        <v>85</v>
      </c>
      <c r="I486" s="14" t="s">
        <v>18</v>
      </c>
    </row>
    <row r="487" spans="1:9" ht="31.2">
      <c r="A487" s="15">
        <v>2825761</v>
      </c>
      <c r="B487" s="8" t="s">
        <v>901</v>
      </c>
      <c r="C487" s="35" t="s">
        <v>902</v>
      </c>
      <c r="D487" s="12"/>
      <c r="E487" s="11" t="str">
        <f>HYPERLINK("https://search.ancestryinstitution.com/aird/search/db.aspx?dbid=60882","Ancestry.com")</f>
        <v>Ancestry.com</v>
      </c>
      <c r="F487" s="12"/>
      <c r="G487" s="12"/>
      <c r="H487" s="13">
        <v>85</v>
      </c>
      <c r="I487" s="14" t="s">
        <v>18</v>
      </c>
    </row>
    <row r="488" spans="1:9" ht="46.8">
      <c r="A488" s="15">
        <v>2825691</v>
      </c>
      <c r="B488" s="8" t="s">
        <v>903</v>
      </c>
      <c r="C488" s="35" t="s">
        <v>904</v>
      </c>
      <c r="D488" s="12"/>
      <c r="E488" s="18" t="s">
        <v>14</v>
      </c>
      <c r="F488" s="12"/>
      <c r="G488" s="12"/>
      <c r="H488" s="13">
        <v>85</v>
      </c>
      <c r="I488" s="14" t="s">
        <v>18</v>
      </c>
    </row>
    <row r="489" spans="1:9" ht="46.8">
      <c r="A489" s="15">
        <v>2945505</v>
      </c>
      <c r="B489" s="8" t="s">
        <v>905</v>
      </c>
      <c r="C489" s="16" t="s">
        <v>906</v>
      </c>
      <c r="D489" s="12"/>
      <c r="E489" s="11" t="str">
        <f>HYPERLINK("https://search.ancestryinstitution.com/aird/search/db.aspx?dbid=60882","Ancestry.com")</f>
        <v>Ancestry.com</v>
      </c>
      <c r="F489" s="12"/>
      <c r="G489" s="12"/>
      <c r="H489" s="13">
        <v>85</v>
      </c>
      <c r="I489" s="14" t="s">
        <v>15</v>
      </c>
    </row>
    <row r="490" spans="1:9" ht="46.8">
      <c r="A490" s="15">
        <v>2843053</v>
      </c>
      <c r="B490" s="8" t="s">
        <v>907</v>
      </c>
      <c r="C490" s="16" t="s">
        <v>908</v>
      </c>
      <c r="D490" s="12"/>
      <c r="E490" s="17" t="s">
        <v>14</v>
      </c>
      <c r="F490" s="12"/>
      <c r="G490" s="12"/>
      <c r="H490" s="13">
        <v>85</v>
      </c>
      <c r="I490" s="14" t="s">
        <v>15</v>
      </c>
    </row>
    <row r="491" spans="1:9" ht="46.8">
      <c r="A491" s="15">
        <v>2788979</v>
      </c>
      <c r="B491" s="8" t="s">
        <v>909</v>
      </c>
      <c r="C491" s="16" t="s">
        <v>910</v>
      </c>
      <c r="D491" s="12"/>
      <c r="E491" s="11" t="str">
        <f>HYPERLINK("https://search.ancestryinstitution.com/aird/search/db.aspx?dbid=60882","Ancestry.com")</f>
        <v>Ancestry.com</v>
      </c>
      <c r="F491" s="12"/>
      <c r="G491" s="12"/>
      <c r="H491" s="13">
        <v>85</v>
      </c>
      <c r="I491" s="14" t="s">
        <v>15</v>
      </c>
    </row>
    <row r="492" spans="1:9" ht="46.8">
      <c r="A492" s="15">
        <v>2843142</v>
      </c>
      <c r="B492" s="8" t="s">
        <v>911</v>
      </c>
      <c r="C492" s="16" t="s">
        <v>912</v>
      </c>
      <c r="D492" s="12"/>
      <c r="E492" s="17" t="s">
        <v>14</v>
      </c>
      <c r="F492" s="12"/>
      <c r="G492" s="12"/>
      <c r="H492" s="13">
        <v>85</v>
      </c>
      <c r="I492" s="14" t="s">
        <v>15</v>
      </c>
    </row>
    <row r="493" spans="1:9" ht="31.2">
      <c r="A493" s="15">
        <v>2843369</v>
      </c>
      <c r="B493" s="8" t="s">
        <v>913</v>
      </c>
      <c r="C493" s="16" t="s">
        <v>914</v>
      </c>
      <c r="D493" s="12"/>
      <c r="E493" s="17" t="s">
        <v>14</v>
      </c>
      <c r="F493" s="12"/>
      <c r="G493" s="12"/>
      <c r="H493" s="13">
        <v>85</v>
      </c>
      <c r="I493" s="14" t="s">
        <v>15</v>
      </c>
    </row>
    <row r="494" spans="1:9" ht="31.2">
      <c r="A494" s="15">
        <v>2843370</v>
      </c>
      <c r="B494" s="8" t="s">
        <v>915</v>
      </c>
      <c r="C494" s="35" t="s">
        <v>916</v>
      </c>
      <c r="D494" s="12"/>
      <c r="E494" s="17" t="s">
        <v>14</v>
      </c>
      <c r="F494" s="12"/>
      <c r="G494" s="12"/>
      <c r="H494" s="13">
        <v>85</v>
      </c>
      <c r="I494" s="14" t="s">
        <v>11</v>
      </c>
    </row>
    <row r="495" spans="1:9" ht="46.8">
      <c r="A495" s="15">
        <v>2843359</v>
      </c>
      <c r="B495" s="8" t="s">
        <v>917</v>
      </c>
      <c r="C495" s="35" t="s">
        <v>918</v>
      </c>
      <c r="D495" s="12"/>
      <c r="E495" s="17" t="s">
        <v>14</v>
      </c>
      <c r="F495" s="12"/>
      <c r="G495" s="12"/>
      <c r="H495" s="13">
        <v>85</v>
      </c>
      <c r="I495" s="14" t="s">
        <v>11</v>
      </c>
    </row>
    <row r="496" spans="1:9" ht="46.8">
      <c r="A496" s="15">
        <v>3294293</v>
      </c>
      <c r="B496" s="8" t="s">
        <v>919</v>
      </c>
      <c r="C496" s="16" t="s">
        <v>920</v>
      </c>
      <c r="D496" s="12"/>
      <c r="E496" s="11" t="str">
        <f t="shared" ref="E496:E498" si="9">HYPERLINK("https://search.ancestryinstitution.com/aird/search/db.aspx?dbid=60882","Ancestry.com")</f>
        <v>Ancestry.com</v>
      </c>
      <c r="F496" s="12"/>
      <c r="G496" s="12"/>
      <c r="H496" s="13">
        <v>85</v>
      </c>
      <c r="I496" s="14" t="s">
        <v>15</v>
      </c>
    </row>
    <row r="497" spans="1:9" ht="31.2">
      <c r="A497" s="15">
        <v>3525405</v>
      </c>
      <c r="B497" s="8" t="s">
        <v>921</v>
      </c>
      <c r="C497" s="35" t="s">
        <v>922</v>
      </c>
      <c r="D497" s="12"/>
      <c r="E497" s="11" t="str">
        <f t="shared" si="9"/>
        <v>Ancestry.com</v>
      </c>
      <c r="F497" s="12"/>
      <c r="G497" s="12"/>
      <c r="H497" s="13">
        <v>85</v>
      </c>
      <c r="I497" s="14" t="s">
        <v>11</v>
      </c>
    </row>
    <row r="498" spans="1:9" ht="46.8">
      <c r="A498" s="15">
        <v>3298200</v>
      </c>
      <c r="B498" s="8" t="s">
        <v>923</v>
      </c>
      <c r="C498" s="16" t="s">
        <v>924</v>
      </c>
      <c r="D498" s="12"/>
      <c r="E498" s="11" t="str">
        <f t="shared" si="9"/>
        <v>Ancestry.com</v>
      </c>
      <c r="F498" s="12"/>
      <c r="G498" s="12"/>
      <c r="H498" s="13">
        <v>85</v>
      </c>
      <c r="I498" s="14" t="s">
        <v>15</v>
      </c>
    </row>
    <row r="499" spans="1:9" ht="46.8">
      <c r="A499" s="15">
        <v>3298206</v>
      </c>
      <c r="B499" s="8" t="s">
        <v>925</v>
      </c>
      <c r="C499" s="16" t="s">
        <v>926</v>
      </c>
      <c r="D499" s="12"/>
      <c r="E499" s="17" t="s">
        <v>14</v>
      </c>
      <c r="F499" s="12"/>
      <c r="G499" s="12"/>
      <c r="H499" s="13">
        <v>85</v>
      </c>
      <c r="I499" s="14" t="s">
        <v>15</v>
      </c>
    </row>
    <row r="500" spans="1:9" ht="46.8">
      <c r="A500" s="15">
        <v>3060170</v>
      </c>
      <c r="B500" s="8" t="s">
        <v>927</v>
      </c>
      <c r="C500" s="16" t="s">
        <v>928</v>
      </c>
      <c r="D500" s="12"/>
      <c r="E500" s="11" t="str">
        <f>HYPERLINK("https://search.ancestryinstitution.com/aird/search/db.aspx?dbid=60376","Ancestry.com")</f>
        <v>Ancestry.com</v>
      </c>
      <c r="F500" s="12"/>
      <c r="G500" s="12"/>
      <c r="H500" s="13">
        <v>85</v>
      </c>
      <c r="I500" s="14" t="s">
        <v>15</v>
      </c>
    </row>
    <row r="501" spans="1:9" ht="46.8">
      <c r="A501" s="15">
        <v>2953525</v>
      </c>
      <c r="B501" s="8" t="s">
        <v>116</v>
      </c>
      <c r="C501" s="35" t="s">
        <v>929</v>
      </c>
      <c r="D501" s="12"/>
      <c r="E501" s="17" t="s">
        <v>14</v>
      </c>
      <c r="F501" s="12"/>
      <c r="G501" s="12"/>
      <c r="H501" s="13">
        <v>85</v>
      </c>
      <c r="I501" s="14" t="s">
        <v>11</v>
      </c>
    </row>
    <row r="502" spans="1:9" ht="31.2">
      <c r="A502" s="15">
        <v>2953514</v>
      </c>
      <c r="B502" s="8" t="s">
        <v>930</v>
      </c>
      <c r="C502" s="16" t="s">
        <v>931</v>
      </c>
      <c r="D502" s="12"/>
      <c r="E502" s="17" t="s">
        <v>14</v>
      </c>
      <c r="F502" s="12"/>
      <c r="G502" s="12"/>
      <c r="H502" s="13">
        <v>85</v>
      </c>
      <c r="I502" s="14" t="s">
        <v>15</v>
      </c>
    </row>
    <row r="503" spans="1:9" ht="46.8">
      <c r="A503" s="15">
        <v>2953534</v>
      </c>
      <c r="B503" s="8" t="s">
        <v>932</v>
      </c>
      <c r="C503" s="35" t="s">
        <v>933</v>
      </c>
      <c r="D503" s="12"/>
      <c r="E503" s="17" t="s">
        <v>14</v>
      </c>
      <c r="F503" s="12"/>
      <c r="G503" s="12"/>
      <c r="H503" s="13">
        <v>85</v>
      </c>
      <c r="I503" s="14" t="s">
        <v>11</v>
      </c>
    </row>
    <row r="504" spans="1:9" ht="46.8">
      <c r="A504" s="15">
        <v>2953537</v>
      </c>
      <c r="B504" s="8" t="s">
        <v>934</v>
      </c>
      <c r="C504" s="16" t="s">
        <v>935</v>
      </c>
      <c r="D504" s="12"/>
      <c r="E504" s="17" t="s">
        <v>14</v>
      </c>
      <c r="F504" s="12"/>
      <c r="G504" s="12"/>
      <c r="H504" s="13">
        <v>85</v>
      </c>
      <c r="I504" s="14" t="s">
        <v>15</v>
      </c>
    </row>
    <row r="505" spans="1:9" ht="46.8">
      <c r="A505" s="15">
        <v>3060135</v>
      </c>
      <c r="B505" s="8" t="s">
        <v>936</v>
      </c>
      <c r="C505" s="16" t="s">
        <v>937</v>
      </c>
      <c r="D505" s="12"/>
      <c r="E505" s="11" t="str">
        <f>HYPERLINK("https://search.ancestryinstitution.com/aird/search/db.aspx?dbid=7949","Ancestry.com")</f>
        <v>Ancestry.com</v>
      </c>
      <c r="F505" s="12"/>
      <c r="G505" s="12"/>
      <c r="H505" s="13">
        <v>85</v>
      </c>
      <c r="I505" s="14" t="s">
        <v>15</v>
      </c>
    </row>
    <row r="506" spans="1:9" ht="31.2">
      <c r="A506" s="15">
        <v>2581573</v>
      </c>
      <c r="B506" s="8" t="s">
        <v>938</v>
      </c>
      <c r="C506" s="35" t="s">
        <v>939</v>
      </c>
      <c r="D506" s="12"/>
      <c r="E506" s="55"/>
      <c r="F506" s="11" t="s">
        <v>43</v>
      </c>
      <c r="G506" s="12"/>
      <c r="H506" s="13">
        <v>85</v>
      </c>
      <c r="I506" s="14" t="s">
        <v>11</v>
      </c>
    </row>
    <row r="507" spans="1:9" ht="31.2">
      <c r="A507" s="15">
        <v>3205393</v>
      </c>
      <c r="B507" s="8" t="s">
        <v>940</v>
      </c>
      <c r="C507" s="35" t="s">
        <v>941</v>
      </c>
      <c r="D507" s="12"/>
      <c r="E507" s="11" t="str">
        <f t="shared" ref="E507:E508" si="10">HYPERLINK("https://search.ancestryinstitution.com/aird/search/db.aspx?dbid=8945","Ancestry.com")</f>
        <v>Ancestry.com</v>
      </c>
      <c r="F507" s="12"/>
      <c r="G507" s="12"/>
      <c r="H507" s="13">
        <v>85</v>
      </c>
      <c r="I507" s="14" t="s">
        <v>11</v>
      </c>
    </row>
    <row r="508" spans="1:9" ht="31.2">
      <c r="A508" s="15">
        <v>3205404</v>
      </c>
      <c r="B508" s="8" t="s">
        <v>942</v>
      </c>
      <c r="C508" s="16" t="s">
        <v>943</v>
      </c>
      <c r="D508" s="12"/>
      <c r="E508" s="11" t="str">
        <f t="shared" si="10"/>
        <v>Ancestry.com</v>
      </c>
      <c r="F508" s="12"/>
      <c r="G508" s="12"/>
      <c r="H508" s="13">
        <v>85</v>
      </c>
      <c r="I508" s="14" t="s">
        <v>15</v>
      </c>
    </row>
    <row r="509" spans="1:9" ht="31.2">
      <c r="A509" s="15">
        <v>2953561</v>
      </c>
      <c r="B509" s="8" t="s">
        <v>944</v>
      </c>
      <c r="C509" s="35" t="s">
        <v>945</v>
      </c>
      <c r="D509" s="12"/>
      <c r="E509" s="17" t="s">
        <v>14</v>
      </c>
      <c r="F509" s="12"/>
      <c r="G509" s="12"/>
      <c r="H509" s="13">
        <v>85</v>
      </c>
      <c r="I509" s="14" t="s">
        <v>11</v>
      </c>
    </row>
    <row r="510" spans="1:9" ht="31.2">
      <c r="A510" s="15">
        <v>2953550</v>
      </c>
      <c r="B510" s="8" t="s">
        <v>946</v>
      </c>
      <c r="C510" s="16" t="s">
        <v>947</v>
      </c>
      <c r="D510" s="12"/>
      <c r="E510" s="17" t="s">
        <v>14</v>
      </c>
      <c r="F510" s="12"/>
      <c r="G510" s="12"/>
      <c r="H510" s="13">
        <v>85</v>
      </c>
      <c r="I510" s="14" t="s">
        <v>15</v>
      </c>
    </row>
    <row r="511" spans="1:9" ht="31.2">
      <c r="A511" s="15">
        <v>2953565</v>
      </c>
      <c r="B511" s="8" t="s">
        <v>948</v>
      </c>
      <c r="C511" s="16" t="s">
        <v>949</v>
      </c>
      <c r="D511" s="12"/>
      <c r="E511" s="18" t="s">
        <v>14</v>
      </c>
      <c r="F511" s="12"/>
      <c r="G511" s="12"/>
      <c r="H511" s="13">
        <v>85</v>
      </c>
      <c r="I511" s="14" t="s">
        <v>15</v>
      </c>
    </row>
    <row r="512" spans="1:9" ht="46.8">
      <c r="A512" s="15">
        <v>2953543</v>
      </c>
      <c r="B512" s="8" t="s">
        <v>950</v>
      </c>
      <c r="C512" s="35" t="s">
        <v>951</v>
      </c>
      <c r="D512" s="12"/>
      <c r="E512" s="11" t="str">
        <f>HYPERLINK("https://search.ancestryinstitution.com/aird/search/db.aspx?dbid=8842","Ancestry.com")</f>
        <v>Ancestry.com</v>
      </c>
      <c r="F512" s="12"/>
      <c r="G512" s="12"/>
      <c r="H512" s="13">
        <v>85</v>
      </c>
      <c r="I512" s="14" t="s">
        <v>18</v>
      </c>
    </row>
    <row r="513" spans="1:9" ht="31.2">
      <c r="A513" s="15">
        <v>2619350</v>
      </c>
      <c r="B513" s="8" t="s">
        <v>952</v>
      </c>
      <c r="C513" s="35" t="s">
        <v>953</v>
      </c>
      <c r="D513" s="12"/>
      <c r="E513" s="17" t="s">
        <v>14</v>
      </c>
      <c r="F513" s="12"/>
      <c r="G513" s="12"/>
      <c r="H513" s="13">
        <v>85</v>
      </c>
      <c r="I513" s="14" t="s">
        <v>18</v>
      </c>
    </row>
    <row r="514" spans="1:9" ht="46.8">
      <c r="A514" s="15">
        <v>3033339</v>
      </c>
      <c r="B514" s="8" t="s">
        <v>954</v>
      </c>
      <c r="C514" s="35" t="s">
        <v>955</v>
      </c>
      <c r="D514" s="12"/>
      <c r="E514" s="17" t="s">
        <v>14</v>
      </c>
      <c r="F514" s="12"/>
      <c r="G514" s="12"/>
      <c r="H514" s="13">
        <v>85</v>
      </c>
      <c r="I514" s="14" t="s">
        <v>11</v>
      </c>
    </row>
    <row r="515" spans="1:9" ht="46.8">
      <c r="A515" s="15">
        <v>2979356</v>
      </c>
      <c r="B515" s="8" t="s">
        <v>956</v>
      </c>
      <c r="C515" s="35" t="s">
        <v>957</v>
      </c>
      <c r="D515" s="12"/>
      <c r="E515" s="17" t="s">
        <v>14</v>
      </c>
      <c r="F515" s="12"/>
      <c r="G515" s="12"/>
      <c r="H515" s="13">
        <v>85</v>
      </c>
      <c r="I515" s="14" t="s">
        <v>11</v>
      </c>
    </row>
    <row r="516" spans="1:9" ht="31.2">
      <c r="A516" s="15">
        <v>2979369</v>
      </c>
      <c r="B516" s="8" t="s">
        <v>958</v>
      </c>
      <c r="C516" s="16" t="s">
        <v>959</v>
      </c>
      <c r="D516" s="12"/>
      <c r="E516" s="17" t="s">
        <v>14</v>
      </c>
      <c r="F516" s="12"/>
      <c r="G516" s="12"/>
      <c r="H516" s="13">
        <v>85</v>
      </c>
      <c r="I516" s="14" t="s">
        <v>15</v>
      </c>
    </row>
    <row r="517" spans="1:9" ht="46.8">
      <c r="A517" s="15">
        <v>2979359</v>
      </c>
      <c r="B517" s="8" t="s">
        <v>960</v>
      </c>
      <c r="C517" s="16" t="s">
        <v>961</v>
      </c>
      <c r="D517" s="12"/>
      <c r="E517" s="17" t="s">
        <v>14</v>
      </c>
      <c r="F517" s="12"/>
      <c r="G517" s="12"/>
      <c r="H517" s="13">
        <v>85</v>
      </c>
      <c r="I517" s="14" t="s">
        <v>15</v>
      </c>
    </row>
    <row r="518" spans="1:9" ht="46.8">
      <c r="A518" s="15">
        <v>2990023</v>
      </c>
      <c r="B518" s="8" t="s">
        <v>962</v>
      </c>
      <c r="C518" s="35" t="s">
        <v>963</v>
      </c>
      <c r="D518" s="12"/>
      <c r="E518" s="17" t="s">
        <v>14</v>
      </c>
      <c r="F518" s="12"/>
      <c r="G518" s="12"/>
      <c r="H518" s="13">
        <v>85</v>
      </c>
      <c r="I518" s="14" t="s">
        <v>11</v>
      </c>
    </row>
    <row r="519" spans="1:9" ht="46.8">
      <c r="A519" s="15">
        <v>2983387</v>
      </c>
      <c r="B519" s="8" t="s">
        <v>964</v>
      </c>
      <c r="C519" s="35" t="s">
        <v>965</v>
      </c>
      <c r="D519" s="12"/>
      <c r="E519" s="17" t="s">
        <v>14</v>
      </c>
      <c r="F519" s="12"/>
      <c r="G519" s="12"/>
      <c r="H519" s="13">
        <v>85</v>
      </c>
      <c r="I519" s="14" t="s">
        <v>11</v>
      </c>
    </row>
    <row r="520" spans="1:9" ht="31.2">
      <c r="A520" s="15">
        <v>2983382</v>
      </c>
      <c r="B520" s="8" t="s">
        <v>966</v>
      </c>
      <c r="C520" s="16" t="s">
        <v>967</v>
      </c>
      <c r="D520" s="12"/>
      <c r="E520" s="17" t="s">
        <v>14</v>
      </c>
      <c r="F520" s="12"/>
      <c r="G520" s="12"/>
      <c r="H520" s="13">
        <v>85</v>
      </c>
      <c r="I520" s="14" t="s">
        <v>15</v>
      </c>
    </row>
    <row r="521" spans="1:9" ht="31.2">
      <c r="A521" s="15">
        <v>2990026</v>
      </c>
      <c r="B521" s="8" t="s">
        <v>968</v>
      </c>
      <c r="C521" s="16" t="s">
        <v>969</v>
      </c>
      <c r="D521" s="11"/>
      <c r="E521" s="19" t="s">
        <v>14</v>
      </c>
      <c r="F521" s="12"/>
      <c r="G521" s="12"/>
      <c r="H521" s="13">
        <v>85</v>
      </c>
      <c r="I521" s="14" t="s">
        <v>15</v>
      </c>
    </row>
    <row r="522" spans="1:9" ht="46.8">
      <c r="A522" s="15">
        <v>2990047</v>
      </c>
      <c r="B522" s="8" t="s">
        <v>970</v>
      </c>
      <c r="C522" s="16" t="s">
        <v>971</v>
      </c>
      <c r="D522" s="12"/>
      <c r="E522" s="11" t="str">
        <f t="shared" ref="E522:E523" si="11">HYPERLINK("https://search.ancestryinstitution.com/aird/search/db.aspx?dbid=8745","Ancestry.com")</f>
        <v>Ancestry.com</v>
      </c>
      <c r="F522" s="12"/>
      <c r="G522" s="12"/>
      <c r="H522" s="13">
        <v>85</v>
      </c>
      <c r="I522" s="14" t="s">
        <v>15</v>
      </c>
    </row>
    <row r="523" spans="1:9" ht="46.8">
      <c r="A523" s="15">
        <v>3033374</v>
      </c>
      <c r="B523" s="8" t="s">
        <v>972</v>
      </c>
      <c r="C523" s="16" t="s">
        <v>973</v>
      </c>
      <c r="D523" s="12"/>
      <c r="E523" s="11" t="str">
        <f t="shared" si="11"/>
        <v>Ancestry.com</v>
      </c>
      <c r="F523" s="12"/>
      <c r="G523" s="12"/>
      <c r="H523" s="13">
        <v>85</v>
      </c>
      <c r="I523" s="14" t="s">
        <v>15</v>
      </c>
    </row>
    <row r="524" spans="1:9" ht="31.2">
      <c r="A524" s="15">
        <v>3033375</v>
      </c>
      <c r="B524" s="8" t="s">
        <v>974</v>
      </c>
      <c r="C524" s="16" t="s">
        <v>975</v>
      </c>
      <c r="D524" s="12"/>
      <c r="E524" s="11" t="str">
        <f>HYPERLINK("https://search.ancestryinstitution.com/aird/search/db.aspx?dbid=9220","Ancestry.com")</f>
        <v>Ancestry.com</v>
      </c>
      <c r="F524" s="12"/>
      <c r="G524" s="12"/>
      <c r="H524" s="13">
        <v>85</v>
      </c>
      <c r="I524" s="14" t="s">
        <v>15</v>
      </c>
    </row>
    <row r="525" spans="1:9" ht="46.8">
      <c r="A525" s="15">
        <v>2789004</v>
      </c>
      <c r="B525" s="8" t="s">
        <v>976</v>
      </c>
      <c r="C525" s="35" t="s">
        <v>977</v>
      </c>
      <c r="D525" s="12"/>
      <c r="E525" s="11" t="str">
        <f t="shared" ref="E525:E526" si="12">HYPERLINK("https://search.ancestryinstitution.com/aird/search/db.aspx?dbid=60882","Ancestry.com")</f>
        <v>Ancestry.com</v>
      </c>
      <c r="F525" s="12"/>
      <c r="G525" s="12"/>
      <c r="H525" s="13">
        <v>85</v>
      </c>
      <c r="I525" s="14" t="s">
        <v>18</v>
      </c>
    </row>
    <row r="526" spans="1:9" ht="46.8">
      <c r="A526" s="15">
        <v>2658014</v>
      </c>
      <c r="B526" s="8" t="s">
        <v>978</v>
      </c>
      <c r="C526" s="16" t="s">
        <v>979</v>
      </c>
      <c r="D526" s="12"/>
      <c r="E526" s="11" t="str">
        <f t="shared" si="12"/>
        <v>Ancestry.com</v>
      </c>
      <c r="F526" s="12"/>
      <c r="G526" s="12"/>
      <c r="H526" s="13">
        <v>85</v>
      </c>
      <c r="I526" s="14" t="s">
        <v>15</v>
      </c>
    </row>
    <row r="527" spans="1:9" ht="46.8">
      <c r="A527" s="15">
        <v>2658056</v>
      </c>
      <c r="B527" s="8" t="s">
        <v>980</v>
      </c>
      <c r="C527" s="16" t="s">
        <v>981</v>
      </c>
      <c r="D527" s="12"/>
      <c r="E527" s="17" t="s">
        <v>14</v>
      </c>
      <c r="F527" s="12"/>
      <c r="G527" s="12"/>
      <c r="H527" s="13">
        <v>85</v>
      </c>
      <c r="I527" s="14" t="s">
        <v>15</v>
      </c>
    </row>
    <row r="528" spans="1:9" ht="46.8">
      <c r="A528" s="15" t="s">
        <v>982</v>
      </c>
      <c r="B528" s="8" t="s">
        <v>983</v>
      </c>
      <c r="C528" s="35" t="s">
        <v>984</v>
      </c>
      <c r="D528" s="12"/>
      <c r="E528" s="11" t="str">
        <f t="shared" ref="E528:E531" si="13">HYPERLINK("https://search.ancestryinstitution.com/aird/search/db.aspx?dbid=60882","Ancestry.com")</f>
        <v>Ancestry.com</v>
      </c>
      <c r="F528" s="12"/>
      <c r="G528" s="12"/>
      <c r="H528" s="13">
        <v>85</v>
      </c>
      <c r="I528" s="14" t="s">
        <v>11</v>
      </c>
    </row>
    <row r="529" spans="1:9" ht="46.8">
      <c r="A529" s="15">
        <v>2674817</v>
      </c>
      <c r="B529" s="8" t="s">
        <v>985</v>
      </c>
      <c r="C529" s="35" t="s">
        <v>986</v>
      </c>
      <c r="D529" s="12"/>
      <c r="E529" s="11" t="str">
        <f t="shared" si="13"/>
        <v>Ancestry.com</v>
      </c>
      <c r="F529" s="12"/>
      <c r="G529" s="12"/>
      <c r="H529" s="13">
        <v>85</v>
      </c>
      <c r="I529" s="14" t="s">
        <v>18</v>
      </c>
    </row>
    <row r="530" spans="1:9" ht="46.8">
      <c r="A530" s="15">
        <v>2674794</v>
      </c>
      <c r="B530" s="8" t="s">
        <v>987</v>
      </c>
      <c r="C530" s="35" t="s">
        <v>988</v>
      </c>
      <c r="D530" s="12"/>
      <c r="E530" s="11" t="str">
        <f t="shared" si="13"/>
        <v>Ancestry.com</v>
      </c>
      <c r="F530" s="12"/>
      <c r="G530" s="12"/>
      <c r="H530" s="13">
        <v>85</v>
      </c>
      <c r="I530" s="14" t="s">
        <v>18</v>
      </c>
    </row>
    <row r="531" spans="1:9" ht="46.8">
      <c r="A531" s="15">
        <v>2789006</v>
      </c>
      <c r="B531" s="8" t="s">
        <v>989</v>
      </c>
      <c r="C531" s="35" t="s">
        <v>990</v>
      </c>
      <c r="D531" s="12"/>
      <c r="E531" s="11" t="str">
        <f t="shared" si="13"/>
        <v>Ancestry.com</v>
      </c>
      <c r="F531" s="12"/>
      <c r="G531" s="12"/>
      <c r="H531" s="13">
        <v>85</v>
      </c>
      <c r="I531" s="14" t="s">
        <v>18</v>
      </c>
    </row>
    <row r="532" spans="1:9" ht="46.8">
      <c r="A532" s="15">
        <v>2805751</v>
      </c>
      <c r="B532" s="8" t="s">
        <v>991</v>
      </c>
      <c r="C532" s="35" t="s">
        <v>992</v>
      </c>
      <c r="D532" s="12"/>
      <c r="E532" s="17" t="s">
        <v>14</v>
      </c>
      <c r="F532" s="12"/>
      <c r="G532" s="12"/>
      <c r="H532" s="13">
        <v>85</v>
      </c>
      <c r="I532" s="14" t="s">
        <v>18</v>
      </c>
    </row>
    <row r="533" spans="1:9" ht="46.8">
      <c r="A533" s="15">
        <v>2775081</v>
      </c>
      <c r="B533" s="8" t="s">
        <v>993</v>
      </c>
      <c r="C533" s="35" t="s">
        <v>994</v>
      </c>
      <c r="D533" s="12"/>
      <c r="E533" s="17" t="s">
        <v>14</v>
      </c>
      <c r="F533" s="12"/>
      <c r="G533" s="12"/>
      <c r="H533" s="13">
        <v>85</v>
      </c>
      <c r="I533" s="14" t="s">
        <v>18</v>
      </c>
    </row>
    <row r="534" spans="1:9" ht="46.8">
      <c r="A534" s="15">
        <v>2775084</v>
      </c>
      <c r="B534" s="8" t="s">
        <v>995</v>
      </c>
      <c r="C534" s="16" t="s">
        <v>996</v>
      </c>
      <c r="D534" s="12"/>
      <c r="E534" s="17" t="s">
        <v>14</v>
      </c>
      <c r="F534" s="12"/>
      <c r="G534" s="12"/>
      <c r="H534" s="13">
        <v>85</v>
      </c>
      <c r="I534" s="14" t="s">
        <v>15</v>
      </c>
    </row>
    <row r="535" spans="1:9" ht="46.8">
      <c r="A535" s="15">
        <v>2788074</v>
      </c>
      <c r="B535" s="8" t="s">
        <v>997</v>
      </c>
      <c r="C535" s="35" t="s">
        <v>998</v>
      </c>
      <c r="D535" s="12"/>
      <c r="E535" s="11" t="str">
        <f>HYPERLINK("https://search.ancestryinstitution.com/aird/search/db.aspx?dbid=60882","Ancestry.com")</f>
        <v>Ancestry.com</v>
      </c>
      <c r="F535" s="12"/>
      <c r="G535" s="12"/>
      <c r="H535" s="13">
        <v>85</v>
      </c>
      <c r="I535" s="14" t="s">
        <v>11</v>
      </c>
    </row>
    <row r="536" spans="1:9" ht="46.8">
      <c r="A536" s="15">
        <v>2788573</v>
      </c>
      <c r="B536" s="8" t="s">
        <v>999</v>
      </c>
      <c r="C536" s="35" t="s">
        <v>1000</v>
      </c>
      <c r="D536" s="12"/>
      <c r="E536" s="17" t="s">
        <v>14</v>
      </c>
      <c r="F536" s="12"/>
      <c r="G536" s="12"/>
      <c r="H536" s="13">
        <v>85</v>
      </c>
      <c r="I536" s="14" t="s">
        <v>18</v>
      </c>
    </row>
    <row r="537" spans="1:9" ht="46.8">
      <c r="A537" s="15">
        <v>2788734</v>
      </c>
      <c r="B537" s="8" t="s">
        <v>1001</v>
      </c>
      <c r="C537" s="35" t="s">
        <v>1002</v>
      </c>
      <c r="D537" s="12"/>
      <c r="E537" s="11" t="str">
        <f>HYPERLINK("https://search.ancestryinstitution.com/aird/search/db.aspx?dbid=60882","Ancestry.com")</f>
        <v>Ancestry.com</v>
      </c>
      <c r="F537" s="12"/>
      <c r="G537" s="12"/>
      <c r="H537" s="13">
        <v>85</v>
      </c>
      <c r="I537" s="14" t="s">
        <v>18</v>
      </c>
    </row>
    <row r="538" spans="1:9" ht="46.8">
      <c r="A538" s="15">
        <v>2645720</v>
      </c>
      <c r="B538" s="8" t="s">
        <v>1003</v>
      </c>
      <c r="C538" s="35" t="s">
        <v>1004</v>
      </c>
      <c r="D538" s="12"/>
      <c r="E538" s="17" t="s">
        <v>14</v>
      </c>
      <c r="F538" s="12"/>
      <c r="G538" s="12"/>
      <c r="H538" s="13">
        <v>85</v>
      </c>
      <c r="I538" s="14" t="s">
        <v>18</v>
      </c>
    </row>
    <row r="539" spans="1:9" ht="46.8">
      <c r="A539" s="15">
        <v>2646945</v>
      </c>
      <c r="B539" s="8" t="s">
        <v>1005</v>
      </c>
      <c r="C539" s="35" t="s">
        <v>1006</v>
      </c>
      <c r="D539" s="12"/>
      <c r="E539" s="17" t="s">
        <v>14</v>
      </c>
      <c r="F539" s="12"/>
      <c r="G539" s="12"/>
      <c r="H539" s="13">
        <v>85</v>
      </c>
      <c r="I539" s="14" t="s">
        <v>11</v>
      </c>
    </row>
    <row r="540" spans="1:9" ht="31.2">
      <c r="A540" s="15">
        <v>2658033</v>
      </c>
      <c r="B540" s="8" t="s">
        <v>1007</v>
      </c>
      <c r="C540" s="35" t="s">
        <v>1008</v>
      </c>
      <c r="D540" s="12"/>
      <c r="E540" s="17" t="s">
        <v>14</v>
      </c>
      <c r="F540" s="12"/>
      <c r="G540" s="12"/>
      <c r="H540" s="13">
        <v>85</v>
      </c>
      <c r="I540" s="14" t="s">
        <v>18</v>
      </c>
    </row>
    <row r="541" spans="1:9" ht="46.8">
      <c r="A541" s="15">
        <v>2824981</v>
      </c>
      <c r="B541" s="8" t="s">
        <v>1009</v>
      </c>
      <c r="C541" s="34" t="s">
        <v>1010</v>
      </c>
      <c r="D541" s="12"/>
      <c r="E541" s="11" t="str">
        <f t="shared" ref="E541:E542" si="14">HYPERLINK("https://search.ancestryinstitution.com/aird/search/db.aspx?dbid=60882","Ancestry.com")</f>
        <v>Ancestry.com</v>
      </c>
      <c r="F541" s="12"/>
      <c r="G541" s="12"/>
      <c r="H541" s="13">
        <v>85</v>
      </c>
      <c r="I541" s="14" t="s">
        <v>18</v>
      </c>
    </row>
    <row r="542" spans="1:9" ht="46.8">
      <c r="A542" s="15">
        <v>2945493</v>
      </c>
      <c r="B542" s="8" t="s">
        <v>1011</v>
      </c>
      <c r="C542" s="34" t="s">
        <v>1012</v>
      </c>
      <c r="D542" s="12"/>
      <c r="E542" s="11" t="str">
        <f t="shared" si="14"/>
        <v>Ancestry.com</v>
      </c>
      <c r="F542" s="12"/>
      <c r="G542" s="12"/>
      <c r="H542" s="13">
        <v>85</v>
      </c>
      <c r="I542" s="14" t="s">
        <v>18</v>
      </c>
    </row>
    <row r="543" spans="1:9" ht="31.2">
      <c r="A543" s="15">
        <v>2848455</v>
      </c>
      <c r="B543" s="8" t="s">
        <v>1013</v>
      </c>
      <c r="C543" s="16" t="s">
        <v>1014</v>
      </c>
      <c r="D543" s="12"/>
      <c r="E543" s="18" t="s">
        <v>14</v>
      </c>
      <c r="F543" s="12"/>
      <c r="G543" s="12"/>
      <c r="H543" s="13">
        <v>85</v>
      </c>
      <c r="I543" s="14" t="s">
        <v>15</v>
      </c>
    </row>
    <row r="544" spans="1:9" ht="31.2">
      <c r="A544" s="15">
        <v>2838408</v>
      </c>
      <c r="B544" s="8" t="s">
        <v>1015</v>
      </c>
      <c r="C544" s="16" t="s">
        <v>1016</v>
      </c>
      <c r="D544" s="12"/>
      <c r="E544" s="17" t="s">
        <v>14</v>
      </c>
      <c r="F544" s="12"/>
      <c r="G544" s="12"/>
      <c r="H544" s="13">
        <v>85</v>
      </c>
      <c r="I544" s="14" t="s">
        <v>15</v>
      </c>
    </row>
    <row r="545" spans="1:9" ht="46.8">
      <c r="A545" s="15">
        <v>2794691</v>
      </c>
      <c r="B545" s="8" t="s">
        <v>1017</v>
      </c>
      <c r="C545" s="16" t="s">
        <v>1018</v>
      </c>
      <c r="D545" s="12"/>
      <c r="E545" s="11" t="str">
        <f t="shared" ref="E545:E560" si="15">HYPERLINK("https://search.ancestryinstitution.com/aird/search/db.aspx?dbid=60882","Ancestry.com")</f>
        <v>Ancestry.com</v>
      </c>
      <c r="F545" s="12"/>
      <c r="G545" s="12"/>
      <c r="H545" s="13">
        <v>85</v>
      </c>
      <c r="I545" s="14" t="s">
        <v>15</v>
      </c>
    </row>
    <row r="546" spans="1:9" ht="46.8">
      <c r="A546" s="15">
        <v>2794672</v>
      </c>
      <c r="B546" s="8" t="s">
        <v>1019</v>
      </c>
      <c r="C546" s="35" t="s">
        <v>1020</v>
      </c>
      <c r="D546" s="12"/>
      <c r="E546" s="11" t="str">
        <f t="shared" si="15"/>
        <v>Ancestry.com</v>
      </c>
      <c r="F546" s="12"/>
      <c r="G546" s="12"/>
      <c r="H546" s="13">
        <v>85</v>
      </c>
      <c r="I546" s="14" t="s">
        <v>18</v>
      </c>
    </row>
    <row r="547" spans="1:9" ht="46.8">
      <c r="A547" s="15">
        <v>2790748</v>
      </c>
      <c r="B547" s="8" t="s">
        <v>1021</v>
      </c>
      <c r="C547" s="35" t="s">
        <v>1022</v>
      </c>
      <c r="D547" s="12"/>
      <c r="E547" s="11" t="str">
        <f t="shared" si="15"/>
        <v>Ancestry.com</v>
      </c>
      <c r="F547" s="12"/>
      <c r="G547" s="12"/>
      <c r="H547" s="13">
        <v>85</v>
      </c>
      <c r="I547" s="14" t="s">
        <v>18</v>
      </c>
    </row>
    <row r="548" spans="1:9" ht="62.4">
      <c r="A548" s="15">
        <v>2790778</v>
      </c>
      <c r="B548" s="8" t="s">
        <v>1023</v>
      </c>
      <c r="C548" s="35" t="s">
        <v>1024</v>
      </c>
      <c r="D548" s="12"/>
      <c r="E548" s="11" t="str">
        <f t="shared" si="15"/>
        <v>Ancestry.com</v>
      </c>
      <c r="F548" s="12"/>
      <c r="G548" s="12"/>
      <c r="H548" s="13">
        <v>85</v>
      </c>
      <c r="I548" s="14" t="s">
        <v>18</v>
      </c>
    </row>
    <row r="549" spans="1:9" ht="46.8">
      <c r="A549" s="15">
        <v>2733329</v>
      </c>
      <c r="B549" s="8" t="s">
        <v>1025</v>
      </c>
      <c r="C549" s="16" t="s">
        <v>1026</v>
      </c>
      <c r="D549" s="12"/>
      <c r="E549" s="11" t="str">
        <f t="shared" si="15"/>
        <v>Ancestry.com</v>
      </c>
      <c r="F549" s="12"/>
      <c r="G549" s="12"/>
      <c r="H549" s="13">
        <v>85</v>
      </c>
      <c r="I549" s="14" t="s">
        <v>15</v>
      </c>
    </row>
    <row r="550" spans="1:9" ht="46.8">
      <c r="A550" s="15">
        <v>2733356</v>
      </c>
      <c r="B550" s="8" t="s">
        <v>1027</v>
      </c>
      <c r="C550" s="16" t="s">
        <v>1028</v>
      </c>
      <c r="D550" s="12"/>
      <c r="E550" s="11" t="str">
        <f t="shared" si="15"/>
        <v>Ancestry.com</v>
      </c>
      <c r="F550" s="12"/>
      <c r="G550" s="12"/>
      <c r="H550" s="13">
        <v>85</v>
      </c>
      <c r="I550" s="14" t="s">
        <v>15</v>
      </c>
    </row>
    <row r="551" spans="1:9" ht="46.8">
      <c r="A551" s="15">
        <v>2789513</v>
      </c>
      <c r="B551" s="8" t="s">
        <v>1029</v>
      </c>
      <c r="C551" s="16" t="s">
        <v>1030</v>
      </c>
      <c r="D551" s="12"/>
      <c r="E551" s="11" t="str">
        <f t="shared" si="15"/>
        <v>Ancestry.com</v>
      </c>
      <c r="F551" s="12"/>
      <c r="G551" s="12"/>
      <c r="H551" s="13">
        <v>85</v>
      </c>
      <c r="I551" s="14" t="s">
        <v>15</v>
      </c>
    </row>
    <row r="552" spans="1:9" ht="46.8">
      <c r="A552" s="15">
        <v>2789518</v>
      </c>
      <c r="B552" s="8" t="s">
        <v>1031</v>
      </c>
      <c r="C552" s="16" t="s">
        <v>1032</v>
      </c>
      <c r="D552" s="12"/>
      <c r="E552" s="11" t="str">
        <f t="shared" si="15"/>
        <v>Ancestry.com</v>
      </c>
      <c r="F552" s="12"/>
      <c r="G552" s="12"/>
      <c r="H552" s="13">
        <v>85</v>
      </c>
      <c r="I552" s="14" t="s">
        <v>15</v>
      </c>
    </row>
    <row r="553" spans="1:9" ht="46.8">
      <c r="A553" s="15">
        <v>2789522</v>
      </c>
      <c r="B553" s="8" t="s">
        <v>1033</v>
      </c>
      <c r="C553" s="35" t="s">
        <v>1034</v>
      </c>
      <c r="D553" s="12"/>
      <c r="E553" s="11" t="str">
        <f t="shared" si="15"/>
        <v>Ancestry.com</v>
      </c>
      <c r="F553" s="12"/>
      <c r="G553" s="12"/>
      <c r="H553" s="13">
        <v>85</v>
      </c>
      <c r="I553" s="14" t="s">
        <v>18</v>
      </c>
    </row>
    <row r="554" spans="1:9" ht="46.8">
      <c r="A554" s="15">
        <v>2789524</v>
      </c>
      <c r="B554" s="8" t="s">
        <v>1035</v>
      </c>
      <c r="C554" s="35" t="s">
        <v>1036</v>
      </c>
      <c r="D554" s="12"/>
      <c r="E554" s="11" t="str">
        <f t="shared" si="15"/>
        <v>Ancestry.com</v>
      </c>
      <c r="F554" s="12"/>
      <c r="G554" s="12"/>
      <c r="H554" s="13">
        <v>85</v>
      </c>
      <c r="I554" s="14" t="s">
        <v>18</v>
      </c>
    </row>
    <row r="555" spans="1:9" ht="46.8">
      <c r="A555" s="15">
        <v>2827782</v>
      </c>
      <c r="B555" s="8" t="s">
        <v>1037</v>
      </c>
      <c r="C555" s="16" t="s">
        <v>1038</v>
      </c>
      <c r="D555" s="12"/>
      <c r="E555" s="11" t="str">
        <f t="shared" si="15"/>
        <v>Ancestry.com</v>
      </c>
      <c r="F555" s="12"/>
      <c r="G555" s="12"/>
      <c r="H555" s="13">
        <v>85</v>
      </c>
      <c r="I555" s="14" t="s">
        <v>15</v>
      </c>
    </row>
    <row r="556" spans="1:9" ht="31.2">
      <c r="A556" s="15">
        <v>3440950</v>
      </c>
      <c r="B556" s="8" t="s">
        <v>1039</v>
      </c>
      <c r="C556" s="16" t="s">
        <v>1040</v>
      </c>
      <c r="D556" s="12"/>
      <c r="E556" s="11" t="str">
        <f t="shared" si="15"/>
        <v>Ancestry.com</v>
      </c>
      <c r="F556" s="12"/>
      <c r="G556" s="12"/>
      <c r="H556" s="13">
        <v>85</v>
      </c>
      <c r="I556" s="14" t="s">
        <v>15</v>
      </c>
    </row>
    <row r="557" spans="1:9" ht="31.2">
      <c r="A557" s="15">
        <v>3281811</v>
      </c>
      <c r="B557" s="8" t="s">
        <v>1041</v>
      </c>
      <c r="C557" s="16" t="s">
        <v>1042</v>
      </c>
      <c r="D557" s="12"/>
      <c r="E557" s="11" t="str">
        <f t="shared" si="15"/>
        <v>Ancestry.com</v>
      </c>
      <c r="F557" s="12"/>
      <c r="G557" s="12"/>
      <c r="H557" s="13">
        <v>85</v>
      </c>
      <c r="I557" s="14" t="s">
        <v>15</v>
      </c>
    </row>
    <row r="558" spans="1:9" ht="46.8">
      <c r="A558" s="15">
        <v>3281864</v>
      </c>
      <c r="B558" s="8" t="s">
        <v>1043</v>
      </c>
      <c r="C558" s="16" t="s">
        <v>1044</v>
      </c>
      <c r="D558" s="12"/>
      <c r="E558" s="11" t="str">
        <f t="shared" si="15"/>
        <v>Ancestry.com</v>
      </c>
      <c r="F558" s="12"/>
      <c r="G558" s="12"/>
      <c r="H558" s="13">
        <v>85</v>
      </c>
      <c r="I558" s="14" t="s">
        <v>15</v>
      </c>
    </row>
    <row r="559" spans="1:9" ht="46.8">
      <c r="A559" s="15">
        <v>3281807</v>
      </c>
      <c r="B559" s="8" t="s">
        <v>1045</v>
      </c>
      <c r="C559" s="16" t="s">
        <v>1046</v>
      </c>
      <c r="D559" s="12"/>
      <c r="E559" s="11" t="str">
        <f t="shared" si="15"/>
        <v>Ancestry.com</v>
      </c>
      <c r="F559" s="12"/>
      <c r="G559" s="12"/>
      <c r="H559" s="13">
        <v>85</v>
      </c>
      <c r="I559" s="14" t="s">
        <v>15</v>
      </c>
    </row>
    <row r="560" spans="1:9" ht="31.2">
      <c r="A560" s="15">
        <v>3453100</v>
      </c>
      <c r="B560" s="8" t="s">
        <v>1047</v>
      </c>
      <c r="C560" s="35" t="s">
        <v>1048</v>
      </c>
      <c r="D560" s="12"/>
      <c r="E560" s="11" t="str">
        <f t="shared" si="15"/>
        <v>Ancestry.com</v>
      </c>
      <c r="F560" s="12"/>
      <c r="G560" s="12"/>
      <c r="H560" s="13">
        <v>85</v>
      </c>
      <c r="I560" s="14" t="s">
        <v>18</v>
      </c>
    </row>
    <row r="561" spans="1:9" ht="31.2">
      <c r="A561" s="15">
        <v>3321471</v>
      </c>
      <c r="B561" s="8" t="s">
        <v>1049</v>
      </c>
      <c r="C561" s="16" t="s">
        <v>1050</v>
      </c>
      <c r="D561" s="12"/>
      <c r="E561" s="28" t="str">
        <f>HYPERLINK("https://search.ancestryinstitution.com/aird/search/db.aspx?dbid=9220","Ancestry.com")</f>
        <v>Ancestry.com</v>
      </c>
      <c r="F561" s="12"/>
      <c r="G561" s="12"/>
      <c r="H561" s="13">
        <v>85</v>
      </c>
      <c r="I561" s="14" t="s">
        <v>15</v>
      </c>
    </row>
    <row r="562" spans="1:9" ht="46.8">
      <c r="A562" s="15">
        <v>3335527</v>
      </c>
      <c r="B562" s="8" t="s">
        <v>1051</v>
      </c>
      <c r="C562" s="16" t="s">
        <v>1052</v>
      </c>
      <c r="D562" s="12"/>
      <c r="E562" s="11" t="str">
        <f t="shared" ref="E562:E563" si="16">HYPERLINK("https://search.ancestryinstitution.com/aird/search/db.aspx?dbid=60882","Ancestry.com")</f>
        <v>Ancestry.com</v>
      </c>
      <c r="F562" s="12"/>
      <c r="G562" s="12"/>
      <c r="H562" s="13">
        <v>85</v>
      </c>
      <c r="I562" s="14" t="s">
        <v>15</v>
      </c>
    </row>
    <row r="563" spans="1:9" ht="46.8">
      <c r="A563" s="15">
        <v>3335528</v>
      </c>
      <c r="B563" s="8" t="s">
        <v>1053</v>
      </c>
      <c r="C563" s="35" t="s">
        <v>1054</v>
      </c>
      <c r="D563" s="12"/>
      <c r="E563" s="11" t="str">
        <f t="shared" si="16"/>
        <v>Ancestry.com</v>
      </c>
      <c r="F563" s="12"/>
      <c r="G563" s="12"/>
      <c r="H563" s="13">
        <v>85</v>
      </c>
      <c r="I563" s="14" t="s">
        <v>18</v>
      </c>
    </row>
    <row r="564" spans="1:9" ht="46.8">
      <c r="A564" s="15">
        <v>2953511</v>
      </c>
      <c r="B564" s="8" t="s">
        <v>1055</v>
      </c>
      <c r="C564" s="35" t="s">
        <v>1056</v>
      </c>
      <c r="D564" s="12"/>
      <c r="E564" s="17" t="s">
        <v>14</v>
      </c>
      <c r="F564" s="12"/>
      <c r="G564" s="12"/>
      <c r="H564" s="13">
        <v>85</v>
      </c>
      <c r="I564" s="14" t="s">
        <v>11</v>
      </c>
    </row>
    <row r="565" spans="1:9" ht="31.2">
      <c r="A565" s="15">
        <v>2945685</v>
      </c>
      <c r="B565" s="8" t="s">
        <v>1057</v>
      </c>
      <c r="C565" s="16" t="s">
        <v>1058</v>
      </c>
      <c r="D565" s="12"/>
      <c r="E565" s="11" t="str">
        <f>HYPERLINK("https://search.ancestryinstitution.com/aird/search/db.aspx?dbid=9220","Ancestry.com")</f>
        <v>Ancestry.com</v>
      </c>
      <c r="F565" s="12"/>
      <c r="G565" s="12"/>
      <c r="H565" s="13">
        <v>85</v>
      </c>
      <c r="I565" s="14" t="s">
        <v>15</v>
      </c>
    </row>
    <row r="566" spans="1:9" ht="46.8">
      <c r="A566" s="15">
        <v>2945735</v>
      </c>
      <c r="B566" s="8" t="s">
        <v>1059</v>
      </c>
      <c r="C566" s="35" t="s">
        <v>1060</v>
      </c>
      <c r="D566" s="12"/>
      <c r="E566" s="11" t="str">
        <f>HYPERLINK("https://search.ancestryinstitution.com/aird/search/db.aspx?dbid=7949","Ancestry.com")</f>
        <v>Ancestry.com</v>
      </c>
      <c r="F566" s="12"/>
      <c r="G566" s="12"/>
      <c r="H566" s="13">
        <v>85</v>
      </c>
      <c r="I566" s="14" t="s">
        <v>18</v>
      </c>
    </row>
    <row r="567" spans="1:9" ht="31.2">
      <c r="A567" s="15">
        <v>2945729</v>
      </c>
      <c r="B567" s="8" t="s">
        <v>1061</v>
      </c>
      <c r="C567" s="16" t="s">
        <v>1062</v>
      </c>
      <c r="D567" s="11"/>
      <c r="E567" s="19" t="s">
        <v>14</v>
      </c>
      <c r="F567" s="12"/>
      <c r="G567" s="12"/>
      <c r="H567" s="13">
        <v>85</v>
      </c>
      <c r="I567" s="14" t="s">
        <v>15</v>
      </c>
    </row>
    <row r="568" spans="1:9" ht="31.2">
      <c r="A568" s="15">
        <v>2945713</v>
      </c>
      <c r="B568" s="8" t="s">
        <v>1063</v>
      </c>
      <c r="C568" s="16" t="s">
        <v>1064</v>
      </c>
      <c r="D568" s="12"/>
      <c r="E568" s="11" t="str">
        <f>HYPERLINK("https://search.ancestryinstitution.com/aird/search/db.aspx?dbid=7949","Ancestry.com")</f>
        <v>Ancestry.com</v>
      </c>
      <c r="F568" s="12"/>
      <c r="G568" s="12"/>
      <c r="H568" s="13">
        <v>85</v>
      </c>
      <c r="I568" s="14" t="s">
        <v>15</v>
      </c>
    </row>
    <row r="569" spans="1:9" ht="31.2">
      <c r="A569" s="15">
        <v>3749844</v>
      </c>
      <c r="B569" s="8" t="s">
        <v>1065</v>
      </c>
      <c r="C569" s="16" t="s">
        <v>1066</v>
      </c>
      <c r="D569" s="12"/>
      <c r="E569" s="17" t="s">
        <v>14</v>
      </c>
      <c r="F569" s="12"/>
      <c r="G569" s="12"/>
      <c r="H569" s="13">
        <v>85</v>
      </c>
      <c r="I569" s="14" t="s">
        <v>15</v>
      </c>
    </row>
    <row r="570" spans="1:9" ht="46.8">
      <c r="A570" s="15">
        <v>2945716</v>
      </c>
      <c r="B570" s="8" t="s">
        <v>1067</v>
      </c>
      <c r="C570" s="16" t="s">
        <v>1068</v>
      </c>
      <c r="D570" s="12"/>
      <c r="E570" s="11" t="str">
        <f>HYPERLINK("https://search.ancestryinstitution.com/aird/search/db.aspx?dbid=7949","Ancestry.com")</f>
        <v>Ancestry.com</v>
      </c>
      <c r="F570" s="12"/>
      <c r="G570" s="12"/>
      <c r="H570" s="13">
        <v>85</v>
      </c>
      <c r="I570" s="14" t="s">
        <v>15</v>
      </c>
    </row>
    <row r="571" spans="1:9" ht="31.2">
      <c r="A571" s="15">
        <v>3260239</v>
      </c>
      <c r="B571" s="8" t="s">
        <v>1069</v>
      </c>
      <c r="C571" s="16" t="s">
        <v>1070</v>
      </c>
      <c r="D571" s="12"/>
      <c r="E571" s="11" t="str">
        <f t="shared" ref="E571:E574" si="17">HYPERLINK("https://search.ancestryinstitution.com/aird/search/db.aspx?dbid=60882","Ancestry.com")</f>
        <v>Ancestry.com</v>
      </c>
      <c r="F571" s="12"/>
      <c r="G571" s="12"/>
      <c r="H571" s="13">
        <v>85</v>
      </c>
      <c r="I571" s="14" t="s">
        <v>15</v>
      </c>
    </row>
    <row r="572" spans="1:9" ht="46.8">
      <c r="A572" s="15">
        <v>3242808</v>
      </c>
      <c r="B572" s="8" t="s">
        <v>1071</v>
      </c>
      <c r="C572" s="35" t="s">
        <v>1072</v>
      </c>
      <c r="D572" s="12"/>
      <c r="E572" s="11" t="str">
        <f t="shared" si="17"/>
        <v>Ancestry.com</v>
      </c>
      <c r="F572" s="12"/>
      <c r="G572" s="12"/>
      <c r="H572" s="13">
        <v>85</v>
      </c>
      <c r="I572" s="14" t="s">
        <v>18</v>
      </c>
    </row>
    <row r="573" spans="1:9" ht="31.2">
      <c r="A573" s="15">
        <v>3244744</v>
      </c>
      <c r="B573" s="8" t="s">
        <v>1073</v>
      </c>
      <c r="C573" s="53" t="s">
        <v>1074</v>
      </c>
      <c r="D573" s="12"/>
      <c r="E573" s="11" t="str">
        <f t="shared" si="17"/>
        <v>Ancestry.com</v>
      </c>
      <c r="F573" s="12"/>
      <c r="G573" s="12"/>
      <c r="H573" s="13">
        <v>85</v>
      </c>
      <c r="I573" s="14" t="s">
        <v>15</v>
      </c>
    </row>
    <row r="574" spans="1:9" ht="31.2">
      <c r="A574" s="15">
        <v>3244836</v>
      </c>
      <c r="B574" s="8" t="s">
        <v>1075</v>
      </c>
      <c r="C574" s="35" t="s">
        <v>1076</v>
      </c>
      <c r="D574" s="12"/>
      <c r="E574" s="11" t="str">
        <f t="shared" si="17"/>
        <v>Ancestry.com</v>
      </c>
      <c r="F574" s="12"/>
      <c r="G574" s="12"/>
      <c r="H574" s="13">
        <v>85</v>
      </c>
      <c r="I574" s="14" t="s">
        <v>18</v>
      </c>
    </row>
    <row r="575" spans="1:9" ht="46.8">
      <c r="A575" s="15">
        <v>3039648</v>
      </c>
      <c r="B575" s="8" t="s">
        <v>1077</v>
      </c>
      <c r="C575" s="16" t="s">
        <v>1078</v>
      </c>
      <c r="D575" s="12"/>
      <c r="E575" s="11" t="str">
        <f>HYPERLINK("https://search.ancestryinstitution.com/aird/search/db.aspx?dbid=9271","Ancestry.com")</f>
        <v>Ancestry.com</v>
      </c>
      <c r="F575" s="12"/>
      <c r="G575" s="12"/>
      <c r="H575" s="13">
        <v>85</v>
      </c>
      <c r="I575" s="14" t="s">
        <v>15</v>
      </c>
    </row>
    <row r="576" spans="1:9" ht="46.8">
      <c r="A576" s="15">
        <v>3039654</v>
      </c>
      <c r="B576" s="8" t="s">
        <v>1079</v>
      </c>
      <c r="C576" s="35" t="s">
        <v>1080</v>
      </c>
      <c r="D576" s="12"/>
      <c r="E576" s="17" t="s">
        <v>14</v>
      </c>
      <c r="F576" s="12"/>
      <c r="G576" s="12"/>
      <c r="H576" s="13">
        <v>85</v>
      </c>
      <c r="I576" s="14" t="s">
        <v>11</v>
      </c>
    </row>
    <row r="577" spans="1:9" ht="42">
      <c r="A577" s="15">
        <v>3039659</v>
      </c>
      <c r="B577" s="8" t="s">
        <v>1081</v>
      </c>
      <c r="C577" s="56" t="s">
        <v>1082</v>
      </c>
      <c r="D577" s="12"/>
      <c r="E577" s="17" t="s">
        <v>14</v>
      </c>
      <c r="F577" s="12"/>
      <c r="G577" s="12"/>
      <c r="H577" s="13">
        <v>85</v>
      </c>
      <c r="I577" s="14" t="s">
        <v>15</v>
      </c>
    </row>
    <row r="578" spans="1:9" ht="31.2">
      <c r="A578" s="15">
        <v>3039657</v>
      </c>
      <c r="B578" s="8" t="s">
        <v>1083</v>
      </c>
      <c r="C578" s="16" t="s">
        <v>1084</v>
      </c>
      <c r="D578" s="12"/>
      <c r="E578" s="17" t="s">
        <v>14</v>
      </c>
      <c r="F578" s="12"/>
      <c r="G578" s="12"/>
      <c r="H578" s="13">
        <v>85</v>
      </c>
      <c r="I578" s="14" t="s">
        <v>15</v>
      </c>
    </row>
    <row r="579" spans="1:9" ht="46.8">
      <c r="A579" s="15">
        <v>3039655</v>
      </c>
      <c r="B579" s="8" t="s">
        <v>1085</v>
      </c>
      <c r="C579" s="35" t="s">
        <v>1086</v>
      </c>
      <c r="D579" s="12"/>
      <c r="E579" s="17" t="s">
        <v>14</v>
      </c>
      <c r="F579" s="12"/>
      <c r="G579" s="12"/>
      <c r="H579" s="13">
        <v>85</v>
      </c>
      <c r="I579" s="14" t="s">
        <v>11</v>
      </c>
    </row>
    <row r="580" spans="1:9" ht="46.8">
      <c r="A580" s="15">
        <v>3335554</v>
      </c>
      <c r="B580" s="8" t="s">
        <v>1087</v>
      </c>
      <c r="C580" s="35" t="s">
        <v>1088</v>
      </c>
      <c r="D580" s="12"/>
      <c r="E580" s="11" t="str">
        <f>HYPERLINK("https://search.ancestryinstitution.com/aird/search/db.aspx?dbid=60882","Ancestry.com")</f>
        <v>Ancestry.com</v>
      </c>
      <c r="F580" s="12"/>
      <c r="G580" s="12"/>
      <c r="H580" s="13">
        <v>85</v>
      </c>
      <c r="I580" s="14" t="s">
        <v>18</v>
      </c>
    </row>
    <row r="581" spans="1:9" ht="31.2">
      <c r="A581" s="15">
        <v>2681636</v>
      </c>
      <c r="B581" s="8" t="s">
        <v>1089</v>
      </c>
      <c r="C581" s="35" t="s">
        <v>1090</v>
      </c>
      <c r="D581" s="12"/>
      <c r="E581" s="17" t="s">
        <v>14</v>
      </c>
      <c r="F581" s="12"/>
      <c r="G581" s="12"/>
      <c r="H581" s="13">
        <v>85</v>
      </c>
      <c r="I581" s="23" t="s">
        <v>11</v>
      </c>
    </row>
    <row r="582" spans="1:9" ht="46.8">
      <c r="A582" s="15">
        <v>2699827</v>
      </c>
      <c r="B582" s="8" t="s">
        <v>1091</v>
      </c>
      <c r="C582" s="35" t="s">
        <v>1092</v>
      </c>
      <c r="D582" s="12"/>
      <c r="E582" s="17" t="s">
        <v>14</v>
      </c>
      <c r="F582" s="12"/>
      <c r="G582" s="12"/>
      <c r="H582" s="13">
        <v>85</v>
      </c>
      <c r="I582" s="14" t="s">
        <v>18</v>
      </c>
    </row>
    <row r="583" spans="1:9" ht="46.8">
      <c r="A583" s="15">
        <v>2802319</v>
      </c>
      <c r="B583" s="8" t="s">
        <v>1093</v>
      </c>
      <c r="C583" s="35" t="s">
        <v>1094</v>
      </c>
      <c r="D583" s="12"/>
      <c r="E583" s="17" t="s">
        <v>14</v>
      </c>
      <c r="F583" s="12"/>
      <c r="G583" s="12"/>
      <c r="H583" s="13">
        <v>85</v>
      </c>
      <c r="I583" s="14" t="s">
        <v>18</v>
      </c>
    </row>
    <row r="584" spans="1:9" ht="46.8">
      <c r="A584" s="7">
        <v>2790616</v>
      </c>
      <c r="B584" s="8" t="s">
        <v>1095</v>
      </c>
      <c r="C584" s="35" t="s">
        <v>1096</v>
      </c>
      <c r="D584" s="12"/>
      <c r="E584" s="17" t="s">
        <v>14</v>
      </c>
      <c r="F584" s="12"/>
      <c r="G584" s="12"/>
      <c r="H584" s="13">
        <v>85</v>
      </c>
      <c r="I584" s="23" t="s">
        <v>18</v>
      </c>
    </row>
    <row r="585" spans="1:9" ht="46.8">
      <c r="A585" s="15">
        <v>2848479</v>
      </c>
      <c r="B585" s="8" t="s">
        <v>1097</v>
      </c>
      <c r="C585" s="16" t="s">
        <v>1098</v>
      </c>
      <c r="D585" s="12"/>
      <c r="E585" s="17" t="s">
        <v>14</v>
      </c>
      <c r="F585" s="12"/>
      <c r="G585" s="12"/>
      <c r="H585" s="13">
        <v>85</v>
      </c>
      <c r="I585" s="14" t="s">
        <v>15</v>
      </c>
    </row>
    <row r="586" spans="1:9" ht="46.8">
      <c r="A586" s="15">
        <v>2934396</v>
      </c>
      <c r="B586" s="8" t="s">
        <v>1099</v>
      </c>
      <c r="C586" s="35" t="s">
        <v>1100</v>
      </c>
      <c r="D586" s="12"/>
      <c r="E586" s="11" t="str">
        <f>HYPERLINK("https://search.ancestryinstitution.com/aird/search/db.aspx?dbid=60882","Ancestry.com")</f>
        <v>Ancestry.com</v>
      </c>
      <c r="F586" s="12"/>
      <c r="G586" s="12"/>
      <c r="H586" s="13">
        <v>85</v>
      </c>
      <c r="I586" s="14" t="s">
        <v>18</v>
      </c>
    </row>
    <row r="587" spans="1:9" ht="31.2">
      <c r="A587" s="15">
        <v>2679330</v>
      </c>
      <c r="B587" s="8" t="s">
        <v>1101</v>
      </c>
      <c r="C587" s="35" t="s">
        <v>1102</v>
      </c>
      <c r="D587" s="12"/>
      <c r="E587" s="17" t="s">
        <v>14</v>
      </c>
      <c r="F587" s="12"/>
      <c r="G587" s="12"/>
      <c r="H587" s="13">
        <v>85</v>
      </c>
      <c r="I587" s="14" t="s">
        <v>18</v>
      </c>
    </row>
    <row r="588" spans="1:9" ht="31.2">
      <c r="A588" s="15">
        <v>3033349</v>
      </c>
      <c r="B588" s="8" t="s">
        <v>1103</v>
      </c>
      <c r="C588" s="16" t="s">
        <v>1104</v>
      </c>
      <c r="D588" s="12"/>
      <c r="E588" s="17" t="s">
        <v>14</v>
      </c>
      <c r="F588" s="12"/>
      <c r="G588" s="12"/>
      <c r="H588" s="13">
        <v>85</v>
      </c>
      <c r="I588" s="14" t="s">
        <v>15</v>
      </c>
    </row>
    <row r="589" spans="1:9" ht="46.8">
      <c r="A589" s="15">
        <v>2827793</v>
      </c>
      <c r="B589" s="8" t="s">
        <v>1105</v>
      </c>
      <c r="C589" s="34" t="s">
        <v>1106</v>
      </c>
      <c r="D589" s="12"/>
      <c r="E589" s="11" t="str">
        <f>HYPERLINK("https://search.ancestryinstitution.com/aird/search/db.aspx?dbid=60882","Ancestry.com")</f>
        <v>Ancestry.com</v>
      </c>
      <c r="F589" s="12"/>
      <c r="G589" s="12"/>
      <c r="H589" s="13">
        <v>85</v>
      </c>
      <c r="I589" s="14" t="s">
        <v>18</v>
      </c>
    </row>
    <row r="590" spans="1:9" ht="31.2">
      <c r="A590" s="15">
        <v>2843119</v>
      </c>
      <c r="B590" s="8" t="s">
        <v>1107</v>
      </c>
      <c r="C590" s="35" t="s">
        <v>1108</v>
      </c>
      <c r="D590" s="12"/>
      <c r="E590" s="17" t="s">
        <v>14</v>
      </c>
      <c r="F590" s="12"/>
      <c r="G590" s="12"/>
      <c r="H590" s="13">
        <v>85</v>
      </c>
      <c r="I590" s="23" t="s">
        <v>11</v>
      </c>
    </row>
    <row r="591" spans="1:9" ht="46.8">
      <c r="A591" s="15">
        <v>2790560</v>
      </c>
      <c r="B591" s="8" t="s">
        <v>1109</v>
      </c>
      <c r="C591" s="35" t="s">
        <v>1110</v>
      </c>
      <c r="D591" s="12"/>
      <c r="E591" s="11" t="str">
        <f t="shared" ref="E591:E593" si="18">HYPERLINK("https://search.ancestryinstitution.com/aird/search/db.aspx?dbid=60882","Ancestry.com")</f>
        <v>Ancestry.com</v>
      </c>
      <c r="F591" s="12"/>
      <c r="G591" s="12"/>
      <c r="H591" s="13">
        <v>85</v>
      </c>
      <c r="I591" s="14" t="s">
        <v>18</v>
      </c>
    </row>
    <row r="592" spans="1:9" ht="46.8">
      <c r="A592" s="15">
        <v>2790578</v>
      </c>
      <c r="B592" s="8" t="s">
        <v>1111</v>
      </c>
      <c r="C592" s="35" t="s">
        <v>1112</v>
      </c>
      <c r="D592" s="12"/>
      <c r="E592" s="11" t="str">
        <f t="shared" si="18"/>
        <v>Ancestry.com</v>
      </c>
      <c r="F592" s="12"/>
      <c r="G592" s="12"/>
      <c r="H592" s="13">
        <v>85</v>
      </c>
      <c r="I592" s="14" t="s">
        <v>18</v>
      </c>
    </row>
    <row r="593" spans="1:9" ht="46.8">
      <c r="A593" s="15">
        <v>2788960</v>
      </c>
      <c r="B593" s="8" t="s">
        <v>1113</v>
      </c>
      <c r="C593" s="35" t="s">
        <v>1114</v>
      </c>
      <c r="D593" s="12"/>
      <c r="E593" s="11" t="str">
        <f t="shared" si="18"/>
        <v>Ancestry.com</v>
      </c>
      <c r="F593" s="12"/>
      <c r="G593" s="12"/>
      <c r="H593" s="13">
        <v>85</v>
      </c>
      <c r="I593" s="14" t="s">
        <v>18</v>
      </c>
    </row>
    <row r="594" spans="1:9" ht="46.8">
      <c r="A594" s="15">
        <v>2771998</v>
      </c>
      <c r="B594" s="8" t="s">
        <v>1115</v>
      </c>
      <c r="C594" s="35" t="s">
        <v>1116</v>
      </c>
      <c r="D594" s="12"/>
      <c r="E594" s="11" t="str">
        <f>HYPERLINK("https://search.ancestryinstitution.com/aird/search/db.aspx?dbid=8842","Ancestry.com")</f>
        <v>Ancestry.com</v>
      </c>
      <c r="F594" s="12"/>
      <c r="G594" s="12"/>
      <c r="H594" s="13">
        <v>85</v>
      </c>
      <c r="I594" s="14" t="s">
        <v>18</v>
      </c>
    </row>
    <row r="595" spans="1:9" ht="62.4">
      <c r="A595" s="15">
        <v>2788521</v>
      </c>
      <c r="B595" s="8" t="s">
        <v>1117</v>
      </c>
      <c r="C595" s="35" t="s">
        <v>1118</v>
      </c>
      <c r="D595" s="12"/>
      <c r="E595" s="17" t="s">
        <v>14</v>
      </c>
      <c r="F595" s="12"/>
      <c r="G595" s="12"/>
      <c r="H595" s="13">
        <v>85</v>
      </c>
      <c r="I595" s="14" t="s">
        <v>18</v>
      </c>
    </row>
    <row r="596" spans="1:9" ht="46.8">
      <c r="A596" s="15">
        <v>2788683</v>
      </c>
      <c r="B596" s="8" t="s">
        <v>1119</v>
      </c>
      <c r="C596" s="35" t="s">
        <v>1120</v>
      </c>
      <c r="D596" s="12"/>
      <c r="E596" s="11" t="str">
        <f t="shared" ref="E596:E600" si="19">HYPERLINK("https://search.ancestryinstitution.com/aird/search/db.aspx?dbid=60882","Ancestry.com")</f>
        <v>Ancestry.com</v>
      </c>
      <c r="F596" s="12"/>
      <c r="G596" s="12"/>
      <c r="H596" s="13">
        <v>85</v>
      </c>
      <c r="I596" s="14" t="s">
        <v>11</v>
      </c>
    </row>
    <row r="597" spans="1:9" ht="46.8">
      <c r="A597" s="15">
        <v>2788697</v>
      </c>
      <c r="B597" s="8" t="s">
        <v>1121</v>
      </c>
      <c r="C597" s="35" t="s">
        <v>1122</v>
      </c>
      <c r="D597" s="12"/>
      <c r="E597" s="11" t="str">
        <f t="shared" si="19"/>
        <v>Ancestry.com</v>
      </c>
      <c r="F597" s="12"/>
      <c r="G597" s="12"/>
      <c r="H597" s="13">
        <v>85</v>
      </c>
      <c r="I597" s="14" t="s">
        <v>18</v>
      </c>
    </row>
    <row r="598" spans="1:9" ht="46.8">
      <c r="A598" s="15">
        <v>2788711</v>
      </c>
      <c r="B598" s="8" t="s">
        <v>1123</v>
      </c>
      <c r="C598" s="16" t="s">
        <v>1124</v>
      </c>
      <c r="D598" s="12"/>
      <c r="E598" s="11" t="str">
        <f t="shared" si="19"/>
        <v>Ancestry.com</v>
      </c>
      <c r="F598" s="12"/>
      <c r="G598" s="12"/>
      <c r="H598" s="13">
        <v>85</v>
      </c>
      <c r="I598" s="14" t="s">
        <v>15</v>
      </c>
    </row>
    <row r="599" spans="1:9" ht="46.8">
      <c r="A599" s="15">
        <v>2788722</v>
      </c>
      <c r="B599" s="8" t="s">
        <v>1125</v>
      </c>
      <c r="C599" s="35" t="s">
        <v>1126</v>
      </c>
      <c r="D599" s="12"/>
      <c r="E599" s="11" t="str">
        <f t="shared" si="19"/>
        <v>Ancestry.com</v>
      </c>
      <c r="F599" s="12"/>
      <c r="G599" s="12"/>
      <c r="H599" s="13">
        <v>85</v>
      </c>
      <c r="I599" s="14" t="s">
        <v>11</v>
      </c>
    </row>
    <row r="600" spans="1:9" ht="46.8">
      <c r="A600" s="15">
        <v>2788733</v>
      </c>
      <c r="B600" s="8" t="s">
        <v>1127</v>
      </c>
      <c r="C600" s="35" t="s">
        <v>1128</v>
      </c>
      <c r="D600" s="12"/>
      <c r="E600" s="11" t="str">
        <f t="shared" si="19"/>
        <v>Ancestry.com</v>
      </c>
      <c r="F600" s="12"/>
      <c r="G600" s="12"/>
      <c r="H600" s="13">
        <v>85</v>
      </c>
      <c r="I600" s="14" t="s">
        <v>18</v>
      </c>
    </row>
    <row r="601" spans="1:9" ht="31.2">
      <c r="A601" s="15">
        <v>2642420</v>
      </c>
      <c r="B601" s="8" t="s">
        <v>1129</v>
      </c>
      <c r="C601" s="16" t="s">
        <v>1130</v>
      </c>
      <c r="D601" s="12"/>
      <c r="E601" s="17" t="s">
        <v>14</v>
      </c>
      <c r="F601" s="12"/>
      <c r="G601" s="12"/>
      <c r="H601" s="13">
        <v>85</v>
      </c>
      <c r="I601" s="14" t="s">
        <v>15</v>
      </c>
    </row>
    <row r="602" spans="1:9" ht="46.8">
      <c r="A602" s="15">
        <v>2642426</v>
      </c>
      <c r="B602" s="8" t="s">
        <v>1131</v>
      </c>
      <c r="C602" s="34" t="s">
        <v>1132</v>
      </c>
      <c r="D602" s="12"/>
      <c r="E602" s="17" t="s">
        <v>14</v>
      </c>
      <c r="F602" s="12"/>
      <c r="G602" s="12"/>
      <c r="H602" s="13">
        <v>85</v>
      </c>
      <c r="I602" s="14" t="s">
        <v>18</v>
      </c>
    </row>
    <row r="603" spans="1:9" ht="31.2">
      <c r="A603" s="15">
        <v>2990129</v>
      </c>
      <c r="B603" s="8" t="s">
        <v>1133</v>
      </c>
      <c r="C603" s="16" t="s">
        <v>1134</v>
      </c>
      <c r="D603" s="12"/>
      <c r="E603" s="17" t="s">
        <v>14</v>
      </c>
      <c r="F603" s="12"/>
      <c r="G603" s="12"/>
      <c r="H603" s="13">
        <v>85</v>
      </c>
      <c r="I603" s="14" t="s">
        <v>15</v>
      </c>
    </row>
    <row r="604" spans="1:9" ht="46.8">
      <c r="A604" s="15">
        <v>2843146</v>
      </c>
      <c r="B604" s="8" t="s">
        <v>1135</v>
      </c>
      <c r="C604" s="35" t="s">
        <v>1136</v>
      </c>
      <c r="D604" s="12"/>
      <c r="E604" s="17" t="s">
        <v>14</v>
      </c>
      <c r="F604" s="12"/>
      <c r="G604" s="12"/>
      <c r="H604" s="13">
        <v>85</v>
      </c>
      <c r="I604" s="14" t="s">
        <v>18</v>
      </c>
    </row>
    <row r="605" spans="1:9" ht="31.2">
      <c r="A605" s="15">
        <v>3054074</v>
      </c>
      <c r="B605" s="8" t="s">
        <v>1137</v>
      </c>
      <c r="C605" s="35" t="s">
        <v>1138</v>
      </c>
      <c r="D605" s="12"/>
      <c r="E605" s="17" t="s">
        <v>14</v>
      </c>
      <c r="F605" s="12"/>
      <c r="G605" s="12"/>
      <c r="H605" s="13">
        <v>85</v>
      </c>
      <c r="I605" s="14" t="s">
        <v>18</v>
      </c>
    </row>
    <row r="606" spans="1:9" ht="46.8">
      <c r="A606" s="15">
        <v>2953528</v>
      </c>
      <c r="B606" s="8" t="s">
        <v>1139</v>
      </c>
      <c r="C606" s="35" t="s">
        <v>1140</v>
      </c>
      <c r="D606" s="12"/>
      <c r="E606" s="17" t="s">
        <v>14</v>
      </c>
      <c r="F606" s="12"/>
      <c r="G606" s="12"/>
      <c r="H606" s="13">
        <v>85</v>
      </c>
      <c r="I606" s="14" t="s">
        <v>18</v>
      </c>
    </row>
    <row r="607" spans="1:9" ht="31.2">
      <c r="A607" s="15">
        <v>2953575</v>
      </c>
      <c r="B607" s="8" t="s">
        <v>1141</v>
      </c>
      <c r="C607" s="16" t="s">
        <v>1142</v>
      </c>
      <c r="D607" s="12"/>
      <c r="E607" s="17" t="s">
        <v>14</v>
      </c>
      <c r="F607" s="12"/>
      <c r="G607" s="12"/>
      <c r="H607" s="13">
        <v>85</v>
      </c>
      <c r="I607" s="14" t="s">
        <v>15</v>
      </c>
    </row>
    <row r="608" spans="1:9" ht="31.2">
      <c r="A608" s="15">
        <v>2953597</v>
      </c>
      <c r="B608" s="8" t="s">
        <v>1143</v>
      </c>
      <c r="C608" s="16" t="s">
        <v>1144</v>
      </c>
      <c r="D608" s="11"/>
      <c r="E608" s="17" t="s">
        <v>14</v>
      </c>
      <c r="F608" s="12"/>
      <c r="G608" s="12"/>
      <c r="H608" s="13">
        <v>85</v>
      </c>
      <c r="I608" s="14" t="s">
        <v>15</v>
      </c>
    </row>
    <row r="609" spans="1:9" ht="31.2">
      <c r="A609" s="15">
        <v>3020828</v>
      </c>
      <c r="B609" s="8" t="s">
        <v>1145</v>
      </c>
      <c r="C609" s="16" t="s">
        <v>1146</v>
      </c>
      <c r="D609" s="11"/>
      <c r="E609" s="17" t="s">
        <v>14</v>
      </c>
      <c r="F609" s="12"/>
      <c r="G609" s="12"/>
      <c r="H609" s="13">
        <v>85</v>
      </c>
      <c r="I609" s="14" t="s">
        <v>15</v>
      </c>
    </row>
    <row r="610" spans="1:9" ht="46.8">
      <c r="A610" s="15">
        <v>3021119</v>
      </c>
      <c r="B610" s="8" t="s">
        <v>1147</v>
      </c>
      <c r="C610" s="35" t="s">
        <v>1148</v>
      </c>
      <c r="D610" s="12"/>
      <c r="E610" s="11" t="str">
        <f>HYPERLINK("https://search.ancestryinstitution.com/aird/search/db.aspx?dbid=8945","Ancestry.com")</f>
        <v>Ancestry.com</v>
      </c>
      <c r="F610" s="12"/>
      <c r="G610" s="12"/>
      <c r="H610" s="13">
        <v>85</v>
      </c>
      <c r="I610" s="14" t="s">
        <v>18</v>
      </c>
    </row>
    <row r="611" spans="1:9" ht="31.2">
      <c r="A611" s="15">
        <v>2788873</v>
      </c>
      <c r="B611" s="8" t="s">
        <v>1149</v>
      </c>
      <c r="C611" s="35" t="s">
        <v>1150</v>
      </c>
      <c r="D611" s="12"/>
      <c r="E611" s="17" t="s">
        <v>14</v>
      </c>
      <c r="F611" s="12"/>
      <c r="G611" s="12"/>
      <c r="H611" s="13">
        <v>85</v>
      </c>
      <c r="I611" s="14" t="s">
        <v>18</v>
      </c>
    </row>
    <row r="612" spans="1:9" ht="78">
      <c r="A612" s="15">
        <v>2663405</v>
      </c>
      <c r="B612" s="8" t="s">
        <v>1151</v>
      </c>
      <c r="C612" s="35" t="s">
        <v>1152</v>
      </c>
      <c r="D612" s="12"/>
      <c r="E612" s="17" t="s">
        <v>14</v>
      </c>
      <c r="F612" s="12"/>
      <c r="G612" s="12"/>
      <c r="H612" s="13">
        <v>85</v>
      </c>
      <c r="I612" s="14" t="s">
        <v>11</v>
      </c>
    </row>
    <row r="613" spans="1:9" ht="46.8">
      <c r="A613" s="15">
        <v>2945720</v>
      </c>
      <c r="B613" s="8" t="s">
        <v>1153</v>
      </c>
      <c r="C613" s="48" t="s">
        <v>1154</v>
      </c>
      <c r="D613" s="12"/>
      <c r="E613" s="17" t="s">
        <v>14</v>
      </c>
      <c r="F613" s="11" t="str">
        <f>HYPERLINK("https://www.familysearch.org/search/catalog/3160738?availability=Family%20History%20Library","FamilySearch.org")</f>
        <v>FamilySearch.org</v>
      </c>
      <c r="G613" s="12"/>
      <c r="H613" s="13">
        <v>85</v>
      </c>
      <c r="I613" s="23" t="s">
        <v>11</v>
      </c>
    </row>
    <row r="614" spans="1:9" ht="31.2">
      <c r="A614" s="15">
        <v>2694350</v>
      </c>
      <c r="B614" s="8" t="s">
        <v>1155</v>
      </c>
      <c r="C614" s="35" t="s">
        <v>1156</v>
      </c>
      <c r="D614" s="12"/>
      <c r="E614" s="17" t="s">
        <v>14</v>
      </c>
      <c r="F614" s="12"/>
      <c r="G614" s="12"/>
      <c r="H614" s="13">
        <v>85</v>
      </c>
      <c r="I614" s="14" t="s">
        <v>11</v>
      </c>
    </row>
    <row r="615" spans="1:9" ht="31.2">
      <c r="A615" s="15">
        <v>2681752</v>
      </c>
      <c r="B615" s="8" t="s">
        <v>1157</v>
      </c>
      <c r="C615" s="35" t="s">
        <v>1158</v>
      </c>
      <c r="D615" s="12"/>
      <c r="E615" s="17" t="s">
        <v>14</v>
      </c>
      <c r="F615" s="12"/>
      <c r="G615" s="12"/>
      <c r="H615" s="13">
        <v>85</v>
      </c>
      <c r="I615" s="14" t="s">
        <v>18</v>
      </c>
    </row>
    <row r="616" spans="1:9" ht="46.8">
      <c r="A616" s="15">
        <v>2789495</v>
      </c>
      <c r="B616" s="8" t="s">
        <v>1159</v>
      </c>
      <c r="C616" s="35" t="s">
        <v>1160</v>
      </c>
      <c r="D616" s="12"/>
      <c r="E616" s="17" t="s">
        <v>14</v>
      </c>
      <c r="F616" s="12"/>
      <c r="G616" s="12"/>
      <c r="H616" s="13">
        <v>85</v>
      </c>
      <c r="I616" s="14" t="s">
        <v>18</v>
      </c>
    </row>
    <row r="617" spans="1:9" ht="31.2">
      <c r="A617" s="15">
        <v>2789504</v>
      </c>
      <c r="B617" s="8" t="s">
        <v>1161</v>
      </c>
      <c r="C617" s="35" t="s">
        <v>1162</v>
      </c>
      <c r="D617" s="12"/>
      <c r="E617" s="17" t="s">
        <v>14</v>
      </c>
      <c r="F617" s="12"/>
      <c r="G617" s="12"/>
      <c r="H617" s="13">
        <v>85</v>
      </c>
      <c r="I617" s="14" t="s">
        <v>18</v>
      </c>
    </row>
    <row r="618" spans="1:9" ht="31.2">
      <c r="A618" s="15">
        <v>2826581</v>
      </c>
      <c r="B618" s="8" t="s">
        <v>1163</v>
      </c>
      <c r="C618" s="16" t="s">
        <v>1164</v>
      </c>
      <c r="D618" s="12"/>
      <c r="E618" s="17" t="s">
        <v>14</v>
      </c>
      <c r="F618" s="12"/>
      <c r="G618" s="12"/>
      <c r="H618" s="13">
        <v>85</v>
      </c>
      <c r="I618" s="14" t="s">
        <v>15</v>
      </c>
    </row>
    <row r="619" spans="1:9" ht="31.2">
      <c r="A619" s="15">
        <v>2843157</v>
      </c>
      <c r="B619" s="8" t="s">
        <v>1165</v>
      </c>
      <c r="C619" s="35" t="s">
        <v>1166</v>
      </c>
      <c r="D619" s="12"/>
      <c r="E619" s="17" t="s">
        <v>14</v>
      </c>
      <c r="F619" s="12"/>
      <c r="G619" s="12"/>
      <c r="H619" s="13">
        <v>85</v>
      </c>
      <c r="I619" s="14" t="s">
        <v>11</v>
      </c>
    </row>
    <row r="620" spans="1:9" ht="31.2">
      <c r="A620" s="15">
        <v>2843160</v>
      </c>
      <c r="B620" s="8" t="s">
        <v>1167</v>
      </c>
      <c r="C620" s="35" t="s">
        <v>1168</v>
      </c>
      <c r="D620" s="12"/>
      <c r="E620" s="17" t="s">
        <v>14</v>
      </c>
      <c r="F620" s="12"/>
      <c r="G620" s="12"/>
      <c r="H620" s="13">
        <v>85</v>
      </c>
      <c r="I620" s="23" t="s">
        <v>11</v>
      </c>
    </row>
    <row r="621" spans="1:9" ht="31.2">
      <c r="A621" s="15">
        <v>2774919</v>
      </c>
      <c r="B621" s="8" t="s">
        <v>1169</v>
      </c>
      <c r="C621" s="35" t="s">
        <v>1170</v>
      </c>
      <c r="D621" s="12"/>
      <c r="E621" s="17" t="s">
        <v>14</v>
      </c>
      <c r="F621" s="12"/>
      <c r="G621" s="12"/>
      <c r="H621" s="13">
        <v>85</v>
      </c>
      <c r="I621" s="23" t="s">
        <v>11</v>
      </c>
    </row>
    <row r="622" spans="1:9" ht="31.2">
      <c r="A622" s="15">
        <v>2774943</v>
      </c>
      <c r="B622" s="8" t="s">
        <v>1171</v>
      </c>
      <c r="C622" s="35" t="s">
        <v>1172</v>
      </c>
      <c r="D622" s="12"/>
      <c r="E622" s="17" t="s">
        <v>14</v>
      </c>
      <c r="F622" s="12"/>
      <c r="G622" s="12"/>
      <c r="H622" s="13">
        <v>85</v>
      </c>
      <c r="I622" s="23" t="s">
        <v>11</v>
      </c>
    </row>
    <row r="623" spans="1:9" ht="31.2">
      <c r="A623" s="15">
        <v>2774955</v>
      </c>
      <c r="B623" s="8" t="s">
        <v>1173</v>
      </c>
      <c r="C623" s="35" t="s">
        <v>1174</v>
      </c>
      <c r="D623" s="12"/>
      <c r="E623" s="17" t="s">
        <v>14</v>
      </c>
      <c r="F623" s="12"/>
      <c r="G623" s="12"/>
      <c r="H623" s="13">
        <v>85</v>
      </c>
      <c r="I623" s="14" t="s">
        <v>18</v>
      </c>
    </row>
    <row r="624" spans="1:9" ht="31.2">
      <c r="A624" s="15">
        <v>2788541</v>
      </c>
      <c r="B624" s="8" t="s">
        <v>1175</v>
      </c>
      <c r="C624" s="35" t="s">
        <v>1176</v>
      </c>
      <c r="D624" s="12"/>
      <c r="E624" s="17" t="s">
        <v>14</v>
      </c>
      <c r="F624" s="12"/>
      <c r="G624" s="12"/>
      <c r="H624" s="13">
        <v>85</v>
      </c>
      <c r="I624" s="14" t="s">
        <v>18</v>
      </c>
    </row>
    <row r="625" spans="1:9" ht="46.8">
      <c r="A625" s="15">
        <v>2843294</v>
      </c>
      <c r="B625" s="8" t="s">
        <v>1177</v>
      </c>
      <c r="C625" s="16" t="s">
        <v>1178</v>
      </c>
      <c r="D625" s="12"/>
      <c r="E625" s="11" t="str">
        <f>HYPERLINK("https://search.ancestryinstitution.com/aird/search/db.aspx?dbid=60376","Ancestry.com")</f>
        <v>Ancestry.com</v>
      </c>
      <c r="F625" s="12"/>
      <c r="G625" s="12"/>
      <c r="H625" s="13">
        <v>85</v>
      </c>
      <c r="I625" s="14" t="s">
        <v>15</v>
      </c>
    </row>
    <row r="626" spans="1:9" ht="46.8">
      <c r="A626" s="15">
        <v>2848504</v>
      </c>
      <c r="B626" s="8" t="s">
        <v>1179</v>
      </c>
      <c r="C626" s="35" t="s">
        <v>1180</v>
      </c>
      <c r="D626" s="12"/>
      <c r="E626" s="11" t="str">
        <f>HYPERLINK("https://search.ancestryinstitution.com/aird/search/db.aspx?dbid=1277","Ancestry.com")</f>
        <v>Ancestry.com</v>
      </c>
      <c r="F626" s="12"/>
      <c r="G626" s="12"/>
      <c r="H626" s="13">
        <v>85</v>
      </c>
      <c r="I626" s="14" t="s">
        <v>18</v>
      </c>
    </row>
    <row r="627" spans="1:9" ht="46.8">
      <c r="A627" s="15">
        <v>3432913</v>
      </c>
      <c r="B627" s="8" t="s">
        <v>1181</v>
      </c>
      <c r="C627" s="35" t="s">
        <v>1182</v>
      </c>
      <c r="D627" s="12"/>
      <c r="E627" s="11" t="str">
        <f>HYPERLINK("https://search.ancestryinstitution.com/aird/search/db.aspx?dbid=60882","Ancestry.com")</f>
        <v>Ancestry.com</v>
      </c>
      <c r="F627" s="12"/>
      <c r="G627" s="12"/>
      <c r="H627" s="13">
        <v>85</v>
      </c>
      <c r="I627" s="14" t="s">
        <v>18</v>
      </c>
    </row>
    <row r="628" spans="1:9" ht="62.4">
      <c r="A628" s="15">
        <v>2934395</v>
      </c>
      <c r="B628" s="8" t="s">
        <v>1183</v>
      </c>
      <c r="C628" s="16" t="s">
        <v>1184</v>
      </c>
      <c r="D628" s="12"/>
      <c r="E628" s="17" t="s">
        <v>14</v>
      </c>
      <c r="F628" s="12"/>
      <c r="G628" s="12"/>
      <c r="H628" s="13">
        <v>85</v>
      </c>
      <c r="I628" s="14" t="s">
        <v>15</v>
      </c>
    </row>
    <row r="629" spans="1:9" ht="46.8">
      <c r="A629" s="15">
        <v>3493135</v>
      </c>
      <c r="B629" s="8" t="s">
        <v>1185</v>
      </c>
      <c r="C629" s="35" t="s">
        <v>1186</v>
      </c>
      <c r="D629" s="12"/>
      <c r="E629" s="11" t="str">
        <f>HYPERLINK("https://search.ancestryinstitution.com/aird/search/db.aspx?dbid=60882","Ancestry.com")</f>
        <v>Ancestry.com</v>
      </c>
      <c r="F629" s="12"/>
      <c r="G629" s="12"/>
      <c r="H629" s="13">
        <v>85</v>
      </c>
      <c r="I629" s="14" t="s">
        <v>11</v>
      </c>
    </row>
    <row r="630" spans="1:9" ht="46.8">
      <c r="A630" s="15">
        <v>3493145</v>
      </c>
      <c r="B630" s="8" t="s">
        <v>1187</v>
      </c>
      <c r="C630" s="35" t="s">
        <v>1188</v>
      </c>
      <c r="D630" s="11"/>
      <c r="E630" s="19" t="s">
        <v>14</v>
      </c>
      <c r="F630" s="12"/>
      <c r="G630" s="12"/>
      <c r="H630" s="13">
        <v>85</v>
      </c>
      <c r="I630" s="14" t="s">
        <v>11</v>
      </c>
    </row>
    <row r="631" spans="1:9" ht="46.8">
      <c r="A631" s="15">
        <v>3179981</v>
      </c>
      <c r="B631" s="8" t="s">
        <v>1189</v>
      </c>
      <c r="C631" s="16" t="s">
        <v>1190</v>
      </c>
      <c r="D631" s="12"/>
      <c r="E631" s="11" t="str">
        <f t="shared" ref="E631:E634" si="20">HYPERLINK("https://search.ancestryinstitution.com/aird/search/db.aspx?dbid=60882","Ancestry.com")</f>
        <v>Ancestry.com</v>
      </c>
      <c r="F631" s="12"/>
      <c r="G631" s="12"/>
      <c r="H631" s="13">
        <v>85</v>
      </c>
      <c r="I631" s="14" t="s">
        <v>15</v>
      </c>
    </row>
    <row r="632" spans="1:9" ht="46.8">
      <c r="A632" s="15">
        <v>3179977</v>
      </c>
      <c r="B632" s="8" t="s">
        <v>1191</v>
      </c>
      <c r="C632" s="35" t="s">
        <v>1192</v>
      </c>
      <c r="D632" s="12"/>
      <c r="E632" s="11" t="str">
        <f t="shared" si="20"/>
        <v>Ancestry.com</v>
      </c>
      <c r="F632" s="12"/>
      <c r="G632" s="12"/>
      <c r="H632" s="13">
        <v>85</v>
      </c>
      <c r="I632" s="14" t="s">
        <v>18</v>
      </c>
    </row>
    <row r="633" spans="1:9" ht="46.8">
      <c r="A633" s="15">
        <v>3179982</v>
      </c>
      <c r="B633" s="8" t="s">
        <v>1193</v>
      </c>
      <c r="C633" s="35" t="s">
        <v>1194</v>
      </c>
      <c r="D633" s="12"/>
      <c r="E633" s="11" t="str">
        <f t="shared" si="20"/>
        <v>Ancestry.com</v>
      </c>
      <c r="F633" s="12"/>
      <c r="G633" s="12"/>
      <c r="H633" s="13">
        <v>85</v>
      </c>
      <c r="I633" s="14" t="s">
        <v>18</v>
      </c>
    </row>
    <row r="634" spans="1:9" ht="46.8">
      <c r="A634" s="15">
        <v>2775163</v>
      </c>
      <c r="B634" s="8" t="s">
        <v>1195</v>
      </c>
      <c r="C634" s="16" t="s">
        <v>1196</v>
      </c>
      <c r="D634" s="12"/>
      <c r="E634" s="11" t="str">
        <f t="shared" si="20"/>
        <v>Ancestry.com</v>
      </c>
      <c r="F634" s="12"/>
      <c r="G634" s="12"/>
      <c r="H634" s="13">
        <v>85</v>
      </c>
      <c r="I634" s="14" t="s">
        <v>15</v>
      </c>
    </row>
    <row r="635" spans="1:9" ht="31.2">
      <c r="A635" s="15">
        <v>2803268</v>
      </c>
      <c r="B635" s="8" t="s">
        <v>1197</v>
      </c>
      <c r="C635" s="35" t="s">
        <v>1198</v>
      </c>
      <c r="D635" s="12"/>
      <c r="E635" s="17" t="s">
        <v>14</v>
      </c>
      <c r="F635" s="12"/>
      <c r="G635" s="12"/>
      <c r="H635" s="13">
        <v>85</v>
      </c>
      <c r="I635" s="14" t="s">
        <v>11</v>
      </c>
    </row>
    <row r="636" spans="1:9" ht="31.2">
      <c r="A636" s="15">
        <v>2827709</v>
      </c>
      <c r="B636" s="8" t="s">
        <v>1199</v>
      </c>
      <c r="C636" s="35" t="s">
        <v>1200</v>
      </c>
      <c r="D636" s="12"/>
      <c r="E636" s="17" t="s">
        <v>14</v>
      </c>
      <c r="F636" s="12"/>
      <c r="G636" s="12"/>
      <c r="H636" s="13">
        <v>85</v>
      </c>
      <c r="I636" s="23" t="s">
        <v>11</v>
      </c>
    </row>
    <row r="637" spans="1:9" ht="31.2">
      <c r="A637" s="15">
        <v>2827724</v>
      </c>
      <c r="B637" s="8" t="s">
        <v>1201</v>
      </c>
      <c r="C637" s="35" t="s">
        <v>1202</v>
      </c>
      <c r="D637" s="12"/>
      <c r="E637" s="17" t="s">
        <v>14</v>
      </c>
      <c r="F637" s="12"/>
      <c r="G637" s="12"/>
      <c r="H637" s="13">
        <v>85</v>
      </c>
      <c r="I637" s="23" t="s">
        <v>11</v>
      </c>
    </row>
    <row r="638" spans="1:9" ht="31.2">
      <c r="A638" s="15">
        <v>2843285</v>
      </c>
      <c r="B638" s="8" t="s">
        <v>1203</v>
      </c>
      <c r="C638" s="16" t="s">
        <v>1204</v>
      </c>
      <c r="D638" s="12"/>
      <c r="E638" s="17" t="s">
        <v>14</v>
      </c>
      <c r="F638" s="12"/>
      <c r="G638" s="12"/>
      <c r="H638" s="13">
        <v>85</v>
      </c>
      <c r="I638" s="14" t="s">
        <v>15</v>
      </c>
    </row>
    <row r="639" spans="1:9" ht="46.8">
      <c r="A639" s="15">
        <v>2848346</v>
      </c>
      <c r="B639" s="8" t="s">
        <v>1205</v>
      </c>
      <c r="C639" s="16" t="s">
        <v>1206</v>
      </c>
      <c r="D639" s="12"/>
      <c r="E639" s="11" t="str">
        <f t="shared" ref="E639:E641" si="21">HYPERLINK("https://search.ancestryinstitution.com/aird/search/db.aspx?dbid=60882","Ancestry.com")</f>
        <v>Ancestry.com</v>
      </c>
      <c r="F639" s="12"/>
      <c r="G639" s="12"/>
      <c r="H639" s="13">
        <v>85</v>
      </c>
      <c r="I639" s="14" t="s">
        <v>15</v>
      </c>
    </row>
    <row r="640" spans="1:9" ht="46.8">
      <c r="A640" s="15">
        <v>3284957</v>
      </c>
      <c r="B640" s="8" t="s">
        <v>1207</v>
      </c>
      <c r="C640" s="34" t="s">
        <v>1208</v>
      </c>
      <c r="D640" s="12"/>
      <c r="E640" s="11" t="str">
        <f t="shared" si="21"/>
        <v>Ancestry.com</v>
      </c>
      <c r="F640" s="12"/>
      <c r="G640" s="12"/>
      <c r="H640" s="13">
        <v>85</v>
      </c>
      <c r="I640" s="14" t="s">
        <v>18</v>
      </c>
    </row>
    <row r="641" spans="1:9" ht="46.8">
      <c r="A641" s="15">
        <v>3284006</v>
      </c>
      <c r="B641" s="8" t="s">
        <v>1209</v>
      </c>
      <c r="C641" s="16" t="s">
        <v>1210</v>
      </c>
      <c r="D641" s="12"/>
      <c r="E641" s="11" t="str">
        <f t="shared" si="21"/>
        <v>Ancestry.com</v>
      </c>
      <c r="F641" s="12"/>
      <c r="G641" s="12"/>
      <c r="H641" s="13">
        <v>85</v>
      </c>
      <c r="I641" s="14" t="s">
        <v>15</v>
      </c>
    </row>
    <row r="642" spans="1:9" ht="46.8">
      <c r="A642" s="15">
        <v>3180435</v>
      </c>
      <c r="B642" s="8" t="s">
        <v>1211</v>
      </c>
      <c r="C642" s="16" t="s">
        <v>1212</v>
      </c>
      <c r="D642" s="12"/>
      <c r="E642" s="17" t="s">
        <v>14</v>
      </c>
      <c r="F642" s="12"/>
      <c r="G642" s="12"/>
      <c r="H642" s="13">
        <v>85</v>
      </c>
      <c r="I642" s="14" t="s">
        <v>15</v>
      </c>
    </row>
    <row r="643" spans="1:9" ht="46.8">
      <c r="A643" s="15">
        <v>3179985</v>
      </c>
      <c r="B643" s="8" t="s">
        <v>1213</v>
      </c>
      <c r="C643" s="35" t="s">
        <v>1214</v>
      </c>
      <c r="D643" s="12"/>
      <c r="E643" s="11" t="str">
        <f>HYPERLINK("https://search.ancestryinstitution.com/aird/search/db.aspx?dbid=60882","Ancestry.com")</f>
        <v>Ancestry.com</v>
      </c>
      <c r="F643" s="12"/>
      <c r="G643" s="12"/>
      <c r="H643" s="13">
        <v>85</v>
      </c>
      <c r="I643" s="14" t="s">
        <v>18</v>
      </c>
    </row>
    <row r="644" spans="1:9" ht="46.8">
      <c r="A644" s="15">
        <v>2790495</v>
      </c>
      <c r="B644" s="8" t="s">
        <v>1215</v>
      </c>
      <c r="C644" s="35" t="s">
        <v>1216</v>
      </c>
      <c r="D644" s="12"/>
      <c r="E644" s="11" t="str">
        <f>HYPERLINK("https://search.ancestryinstitution.com/aird/search/db.aspx?dbid=8842","Ancestry.com")</f>
        <v>Ancestry.com</v>
      </c>
      <c r="F644" s="12"/>
      <c r="G644" s="12"/>
      <c r="H644" s="13">
        <v>85</v>
      </c>
      <c r="I644" s="14" t="s">
        <v>18</v>
      </c>
    </row>
    <row r="645" spans="1:9" ht="46.8">
      <c r="A645" s="15">
        <v>3432894</v>
      </c>
      <c r="B645" s="8" t="s">
        <v>1217</v>
      </c>
      <c r="C645" s="16" t="s">
        <v>1218</v>
      </c>
      <c r="D645" s="12"/>
      <c r="E645" s="11" t="str">
        <f t="shared" ref="E645:E651" si="22">HYPERLINK("https://search.ancestryinstitution.com/aird/search/db.aspx?dbid=60882","Ancestry.com")</f>
        <v>Ancestry.com</v>
      </c>
      <c r="F645" s="12"/>
      <c r="G645" s="12"/>
      <c r="H645" s="13">
        <v>85</v>
      </c>
      <c r="I645" s="14" t="s">
        <v>15</v>
      </c>
    </row>
    <row r="646" spans="1:9" ht="46.8">
      <c r="A646" s="15">
        <v>3249885</v>
      </c>
      <c r="B646" s="8" t="s">
        <v>1219</v>
      </c>
      <c r="C646" s="35" t="s">
        <v>1220</v>
      </c>
      <c r="D646" s="12"/>
      <c r="E646" s="11" t="str">
        <f t="shared" si="22"/>
        <v>Ancestry.com</v>
      </c>
      <c r="F646" s="12"/>
      <c r="G646" s="12"/>
      <c r="H646" s="13">
        <v>85</v>
      </c>
      <c r="I646" s="14" t="s">
        <v>18</v>
      </c>
    </row>
    <row r="647" spans="1:9" ht="46.8">
      <c r="A647" s="15">
        <v>3188609</v>
      </c>
      <c r="B647" s="8" t="s">
        <v>1221</v>
      </c>
      <c r="C647" s="35" t="s">
        <v>1222</v>
      </c>
      <c r="D647" s="12"/>
      <c r="E647" s="11" t="str">
        <f t="shared" si="22"/>
        <v>Ancestry.com</v>
      </c>
      <c r="F647" s="12"/>
      <c r="G647" s="12"/>
      <c r="H647" s="13">
        <v>85</v>
      </c>
      <c r="I647" s="14" t="s">
        <v>18</v>
      </c>
    </row>
    <row r="648" spans="1:9" ht="46.8">
      <c r="A648" s="15">
        <v>3164806</v>
      </c>
      <c r="B648" s="8" t="s">
        <v>1223</v>
      </c>
      <c r="C648" s="35" t="s">
        <v>1224</v>
      </c>
      <c r="D648" s="12"/>
      <c r="E648" s="11" t="str">
        <f t="shared" si="22"/>
        <v>Ancestry.com</v>
      </c>
      <c r="F648" s="12"/>
      <c r="G648" s="12"/>
      <c r="H648" s="13">
        <v>85</v>
      </c>
      <c r="I648" s="14" t="s">
        <v>18</v>
      </c>
    </row>
    <row r="649" spans="1:9" ht="46.8">
      <c r="A649" s="15">
        <v>2674842</v>
      </c>
      <c r="B649" s="8" t="s">
        <v>1225</v>
      </c>
      <c r="C649" s="16" t="s">
        <v>1226</v>
      </c>
      <c r="D649" s="12"/>
      <c r="E649" s="11" t="str">
        <f t="shared" si="22"/>
        <v>Ancestry.com</v>
      </c>
      <c r="F649" s="12"/>
      <c r="G649" s="12"/>
      <c r="H649" s="13">
        <v>85</v>
      </c>
      <c r="I649" s="14" t="s">
        <v>15</v>
      </c>
    </row>
    <row r="650" spans="1:9" ht="46.8">
      <c r="A650" s="15">
        <v>2674882</v>
      </c>
      <c r="B650" s="8" t="s">
        <v>1227</v>
      </c>
      <c r="C650" s="35" t="s">
        <v>1228</v>
      </c>
      <c r="D650" s="12"/>
      <c r="E650" s="11" t="str">
        <f t="shared" si="22"/>
        <v>Ancestry.com</v>
      </c>
      <c r="F650" s="12"/>
      <c r="G650" s="12"/>
      <c r="H650" s="13">
        <v>85</v>
      </c>
      <c r="I650" s="14" t="s">
        <v>11</v>
      </c>
    </row>
    <row r="651" spans="1:9" ht="46.8">
      <c r="A651" s="15">
        <v>2674909</v>
      </c>
      <c r="B651" s="8" t="s">
        <v>1229</v>
      </c>
      <c r="C651" s="16" t="s">
        <v>1230</v>
      </c>
      <c r="D651" s="12"/>
      <c r="E651" s="11" t="str">
        <f t="shared" si="22"/>
        <v>Ancestry.com</v>
      </c>
      <c r="F651" s="12"/>
      <c r="G651" s="12"/>
      <c r="H651" s="13">
        <v>85</v>
      </c>
      <c r="I651" s="14" t="s">
        <v>15</v>
      </c>
    </row>
    <row r="652" spans="1:9" ht="31.2">
      <c r="A652" s="15">
        <v>2838615</v>
      </c>
      <c r="B652" s="8" t="s">
        <v>1231</v>
      </c>
      <c r="C652" s="35" t="s">
        <v>1232</v>
      </c>
      <c r="D652" s="12"/>
      <c r="E652" s="17" t="s">
        <v>14</v>
      </c>
      <c r="F652" s="12"/>
      <c r="G652" s="12"/>
      <c r="H652" s="13">
        <v>85</v>
      </c>
      <c r="I652" s="23" t="s">
        <v>11</v>
      </c>
    </row>
    <row r="653" spans="1:9" ht="46.8">
      <c r="A653" s="15">
        <v>3281795</v>
      </c>
      <c r="B653" s="8" t="s">
        <v>1233</v>
      </c>
      <c r="C653" s="35" t="s">
        <v>1234</v>
      </c>
      <c r="D653" s="12"/>
      <c r="E653" s="11" t="str">
        <f t="shared" ref="E653:E654" si="23">HYPERLINK("https://search.ancestryinstitution.com/aird/search/db.aspx?dbid=60882","Ancestry.com")</f>
        <v>Ancestry.com</v>
      </c>
      <c r="F653" s="12"/>
      <c r="G653" s="12"/>
      <c r="H653" s="13">
        <v>85</v>
      </c>
      <c r="I653" s="14" t="s">
        <v>18</v>
      </c>
    </row>
    <row r="654" spans="1:9" ht="46.8">
      <c r="A654" s="15">
        <v>3281790</v>
      </c>
      <c r="B654" s="8" t="s">
        <v>1235</v>
      </c>
      <c r="C654" s="35" t="s">
        <v>1236</v>
      </c>
      <c r="D654" s="12"/>
      <c r="E654" s="11" t="str">
        <f t="shared" si="23"/>
        <v>Ancestry.com</v>
      </c>
      <c r="F654" s="12"/>
      <c r="G654" s="12"/>
      <c r="H654" s="13">
        <v>85</v>
      </c>
      <c r="I654" s="14" t="s">
        <v>18</v>
      </c>
    </row>
    <row r="655" spans="1:9" ht="62.4">
      <c r="A655" s="15">
        <v>2922416</v>
      </c>
      <c r="B655" s="8" t="s">
        <v>1237</v>
      </c>
      <c r="C655" s="16" t="s">
        <v>1238</v>
      </c>
      <c r="D655" s="11"/>
      <c r="E655" s="19" t="s">
        <v>14</v>
      </c>
      <c r="F655" s="12"/>
      <c r="G655" s="12"/>
      <c r="H655" s="13">
        <v>85</v>
      </c>
      <c r="I655" s="14" t="s">
        <v>15</v>
      </c>
    </row>
    <row r="656" spans="1:9" ht="46.8">
      <c r="A656" s="15">
        <v>3882243</v>
      </c>
      <c r="B656" s="8" t="s">
        <v>1239</v>
      </c>
      <c r="C656" s="16" t="s">
        <v>1240</v>
      </c>
      <c r="D656" s="12"/>
      <c r="E656" s="17" t="s">
        <v>14</v>
      </c>
      <c r="F656" s="12"/>
      <c r="G656" s="12"/>
      <c r="H656" s="20">
        <v>85</v>
      </c>
      <c r="I656" s="14" t="s">
        <v>15</v>
      </c>
    </row>
    <row r="657" spans="1:9" ht="46.8">
      <c r="A657" s="15">
        <v>3249871</v>
      </c>
      <c r="B657" s="8" t="s">
        <v>1241</v>
      </c>
      <c r="C657" s="35" t="s">
        <v>1242</v>
      </c>
      <c r="D657" s="12"/>
      <c r="E657" s="11" t="str">
        <f t="shared" ref="E657:E659" si="24">HYPERLINK("https://search.ancestryinstitution.com/aird/search/db.aspx?dbid=60882","Ancestry.com")</f>
        <v>Ancestry.com</v>
      </c>
      <c r="F657" s="12"/>
      <c r="G657" s="12"/>
      <c r="H657" s="13">
        <v>85</v>
      </c>
      <c r="I657" s="14" t="s">
        <v>18</v>
      </c>
    </row>
    <row r="658" spans="1:9" ht="46.8">
      <c r="A658" s="15">
        <v>3514909</v>
      </c>
      <c r="B658" s="8" t="s">
        <v>1243</v>
      </c>
      <c r="C658" s="16" t="s">
        <v>1244</v>
      </c>
      <c r="D658" s="12"/>
      <c r="E658" s="11" t="str">
        <f t="shared" si="24"/>
        <v>Ancestry.com</v>
      </c>
      <c r="F658" s="12"/>
      <c r="G658" s="12"/>
      <c r="H658" s="13">
        <v>85</v>
      </c>
      <c r="I658" s="14" t="s">
        <v>15</v>
      </c>
    </row>
    <row r="659" spans="1:9" ht="46.8">
      <c r="A659" s="15">
        <v>3477991</v>
      </c>
      <c r="B659" s="8" t="s">
        <v>1245</v>
      </c>
      <c r="C659" s="16" t="s">
        <v>1246</v>
      </c>
      <c r="D659" s="12"/>
      <c r="E659" s="11" t="str">
        <f t="shared" si="24"/>
        <v>Ancestry.com</v>
      </c>
      <c r="F659" s="12"/>
      <c r="G659" s="12"/>
      <c r="H659" s="13">
        <v>85</v>
      </c>
      <c r="I659" s="14" t="s">
        <v>15</v>
      </c>
    </row>
    <row r="660" spans="1:9" ht="31.2">
      <c r="A660" s="15">
        <v>2953536</v>
      </c>
      <c r="B660" s="8" t="s">
        <v>1247</v>
      </c>
      <c r="C660" s="35" t="s">
        <v>1248</v>
      </c>
      <c r="D660" s="12"/>
      <c r="E660" s="11" t="str">
        <f t="shared" ref="E660:E662" si="25">HYPERLINK("https://search.ancestryinstitution.com/aird/search/db.aspx?dbid=8945","Ancestry.com")</f>
        <v>Ancestry.com</v>
      </c>
      <c r="F660" s="12"/>
      <c r="G660" s="12"/>
      <c r="H660" s="13">
        <v>85</v>
      </c>
      <c r="I660" s="14" t="s">
        <v>11</v>
      </c>
    </row>
    <row r="661" spans="1:9" ht="46.8">
      <c r="A661" s="15">
        <v>2953522</v>
      </c>
      <c r="B661" s="8" t="s">
        <v>1249</v>
      </c>
      <c r="C661" s="35" t="s">
        <v>1250</v>
      </c>
      <c r="D661" s="12"/>
      <c r="E661" s="11" t="str">
        <f t="shared" si="25"/>
        <v>Ancestry.com</v>
      </c>
      <c r="F661" s="12"/>
      <c r="G661" s="12"/>
      <c r="H661" s="13">
        <v>85</v>
      </c>
      <c r="I661" s="14" t="s">
        <v>11</v>
      </c>
    </row>
    <row r="662" spans="1:9" ht="46.8">
      <c r="A662" s="15">
        <v>3725165</v>
      </c>
      <c r="B662" s="8" t="s">
        <v>1251</v>
      </c>
      <c r="C662" s="35" t="s">
        <v>1252</v>
      </c>
      <c r="D662" s="12"/>
      <c r="E662" s="11" t="str">
        <f t="shared" si="25"/>
        <v>Ancestry.com</v>
      </c>
      <c r="F662" s="12"/>
      <c r="G662" s="12"/>
      <c r="H662" s="13">
        <v>85</v>
      </c>
      <c r="I662" s="14" t="s">
        <v>11</v>
      </c>
    </row>
    <row r="663" spans="1:9" ht="46.8">
      <c r="A663" s="15">
        <v>3174900</v>
      </c>
      <c r="B663" s="8" t="s">
        <v>1253</v>
      </c>
      <c r="C663" s="35" t="s">
        <v>1254</v>
      </c>
      <c r="D663" s="12"/>
      <c r="E663" s="11" t="str">
        <f>HYPERLINK("https://search.ancestryinstitution.com/aird/search/db.aspx?dbid=60882","Ancestry.com")</f>
        <v>Ancestry.com</v>
      </c>
      <c r="F663" s="12"/>
      <c r="G663" s="12"/>
      <c r="H663" s="13">
        <v>85</v>
      </c>
      <c r="I663" s="14" t="s">
        <v>11</v>
      </c>
    </row>
    <row r="664" spans="1:9" ht="31.2">
      <c r="A664" s="15">
        <v>2839629</v>
      </c>
      <c r="B664" s="8" t="s">
        <v>1255</v>
      </c>
      <c r="C664" s="35" t="s">
        <v>1256</v>
      </c>
      <c r="D664" s="12"/>
      <c r="E664" s="17" t="s">
        <v>14</v>
      </c>
      <c r="F664" s="12"/>
      <c r="G664" s="12"/>
      <c r="H664" s="13">
        <v>85</v>
      </c>
      <c r="I664" s="14" t="s">
        <v>11</v>
      </c>
    </row>
    <row r="665" spans="1:9" ht="62.4">
      <c r="A665" s="15">
        <v>3318903</v>
      </c>
      <c r="B665" s="8" t="s">
        <v>1257</v>
      </c>
      <c r="C665" s="35" t="s">
        <v>1258</v>
      </c>
      <c r="D665" s="12"/>
      <c r="E665" s="11" t="str">
        <f t="shared" ref="E665:E672" si="26">HYPERLINK("https://search.ancestryinstitution.com/aird/search/db.aspx?dbid=60882","Ancestry.com")</f>
        <v>Ancestry.com</v>
      </c>
      <c r="F665" s="12"/>
      <c r="G665" s="12"/>
      <c r="H665" s="13">
        <v>85</v>
      </c>
      <c r="I665" s="14" t="s">
        <v>18</v>
      </c>
    </row>
    <row r="666" spans="1:9" ht="46.8">
      <c r="A666" s="15">
        <v>3318895</v>
      </c>
      <c r="B666" s="8" t="s">
        <v>1259</v>
      </c>
      <c r="C666" s="16" t="s">
        <v>1260</v>
      </c>
      <c r="D666" s="12"/>
      <c r="E666" s="11" t="str">
        <f t="shared" si="26"/>
        <v>Ancestry.com</v>
      </c>
      <c r="F666" s="12"/>
      <c r="G666" s="12"/>
      <c r="H666" s="13">
        <v>85</v>
      </c>
      <c r="I666" s="14" t="s">
        <v>15</v>
      </c>
    </row>
    <row r="667" spans="1:9" ht="46.8">
      <c r="A667" s="15">
        <v>3255135</v>
      </c>
      <c r="B667" s="8" t="s">
        <v>1261</v>
      </c>
      <c r="C667" s="16" t="s">
        <v>1262</v>
      </c>
      <c r="D667" s="12"/>
      <c r="E667" s="11" t="str">
        <f t="shared" si="26"/>
        <v>Ancestry.com</v>
      </c>
      <c r="F667" s="12"/>
      <c r="G667" s="12"/>
      <c r="H667" s="13">
        <v>85</v>
      </c>
      <c r="I667" s="14" t="s">
        <v>15</v>
      </c>
    </row>
    <row r="668" spans="1:9" ht="46.8">
      <c r="A668" s="15">
        <v>3231892</v>
      </c>
      <c r="B668" s="8" t="s">
        <v>1263</v>
      </c>
      <c r="C668" s="35" t="s">
        <v>1264</v>
      </c>
      <c r="D668" s="12"/>
      <c r="E668" s="11" t="str">
        <f t="shared" si="26"/>
        <v>Ancestry.com</v>
      </c>
      <c r="F668" s="12"/>
      <c r="G668" s="12"/>
      <c r="H668" s="13">
        <v>85</v>
      </c>
      <c r="I668" s="14" t="s">
        <v>18</v>
      </c>
    </row>
    <row r="669" spans="1:9" ht="31.2">
      <c r="A669" s="15">
        <v>3281928</v>
      </c>
      <c r="B669" s="8" t="s">
        <v>1265</v>
      </c>
      <c r="C669" s="16" t="s">
        <v>1266</v>
      </c>
      <c r="D669" s="12"/>
      <c r="E669" s="11" t="str">
        <f t="shared" si="26"/>
        <v>Ancestry.com</v>
      </c>
      <c r="F669" s="12"/>
      <c r="G669" s="12"/>
      <c r="H669" s="13">
        <v>85</v>
      </c>
      <c r="I669" s="14" t="s">
        <v>15</v>
      </c>
    </row>
    <row r="670" spans="1:9" ht="31.2">
      <c r="A670" s="15">
        <v>3174903</v>
      </c>
      <c r="B670" s="8" t="s">
        <v>1267</v>
      </c>
      <c r="C670" s="35" t="s">
        <v>1268</v>
      </c>
      <c r="D670" s="12"/>
      <c r="E670" s="11" t="str">
        <f t="shared" si="26"/>
        <v>Ancestry.com</v>
      </c>
      <c r="F670" s="12"/>
      <c r="G670" s="12"/>
      <c r="H670" s="13">
        <v>85</v>
      </c>
      <c r="I670" s="14" t="s">
        <v>18</v>
      </c>
    </row>
    <row r="671" spans="1:9" ht="31.2">
      <c r="A671" s="15">
        <v>3174907</v>
      </c>
      <c r="B671" s="8" t="s">
        <v>1269</v>
      </c>
      <c r="C671" s="35" t="s">
        <v>1270</v>
      </c>
      <c r="D671" s="12"/>
      <c r="E671" s="11" t="str">
        <f t="shared" si="26"/>
        <v>Ancestry.com</v>
      </c>
      <c r="F671" s="12"/>
      <c r="G671" s="12"/>
      <c r="H671" s="13">
        <v>85</v>
      </c>
      <c r="I671" s="14" t="s">
        <v>18</v>
      </c>
    </row>
    <row r="672" spans="1:9" ht="46.8">
      <c r="A672" s="15">
        <v>3318890</v>
      </c>
      <c r="B672" s="8" t="s">
        <v>1271</v>
      </c>
      <c r="C672" s="35" t="s">
        <v>1272</v>
      </c>
      <c r="D672" s="12"/>
      <c r="E672" s="11" t="str">
        <f t="shared" si="26"/>
        <v>Ancestry.com</v>
      </c>
      <c r="F672" s="12"/>
      <c r="G672" s="12"/>
      <c r="H672" s="13">
        <v>85</v>
      </c>
      <c r="I672" s="14" t="s">
        <v>11</v>
      </c>
    </row>
    <row r="673" spans="1:9" ht="31.2">
      <c r="A673" s="15">
        <v>2945944</v>
      </c>
      <c r="B673" s="8" t="s">
        <v>1273</v>
      </c>
      <c r="C673" s="16" t="s">
        <v>1274</v>
      </c>
      <c r="D673" s="12"/>
      <c r="E673" s="17" t="s">
        <v>14</v>
      </c>
      <c r="F673" s="12"/>
      <c r="G673" s="12"/>
      <c r="H673" s="13">
        <v>85</v>
      </c>
      <c r="I673" s="14" t="s">
        <v>15</v>
      </c>
    </row>
    <row r="674" spans="1:9" ht="31.2">
      <c r="A674" s="15">
        <v>3514907</v>
      </c>
      <c r="B674" s="8" t="s">
        <v>1275</v>
      </c>
      <c r="C674" s="16" t="s">
        <v>1276</v>
      </c>
      <c r="D674" s="12"/>
      <c r="E674" s="11" t="str">
        <f t="shared" ref="E674:E675" si="27">HYPERLINK("https://search.ancestryinstitution.com/aird/search/db.aspx?dbid=60882","Ancestry.com")</f>
        <v>Ancestry.com</v>
      </c>
      <c r="F674" s="12"/>
      <c r="G674" s="12"/>
      <c r="H674" s="13">
        <v>85</v>
      </c>
      <c r="I674" s="14" t="s">
        <v>15</v>
      </c>
    </row>
    <row r="675" spans="1:9" ht="31.2">
      <c r="A675" s="15">
        <v>3514904</v>
      </c>
      <c r="B675" s="8" t="s">
        <v>1277</v>
      </c>
      <c r="C675" s="35" t="s">
        <v>1278</v>
      </c>
      <c r="D675" s="12"/>
      <c r="E675" s="11" t="str">
        <f t="shared" si="27"/>
        <v>Ancestry.com</v>
      </c>
      <c r="F675" s="12"/>
      <c r="G675" s="12"/>
      <c r="H675" s="13">
        <v>85</v>
      </c>
      <c r="I675" s="14" t="s">
        <v>18</v>
      </c>
    </row>
    <row r="676" spans="1:9" ht="46.8">
      <c r="A676" s="15">
        <v>3477749</v>
      </c>
      <c r="B676" s="8" t="s">
        <v>1279</v>
      </c>
      <c r="C676" s="35" t="s">
        <v>1280</v>
      </c>
      <c r="D676" s="12"/>
      <c r="E676" s="17" t="s">
        <v>14</v>
      </c>
      <c r="F676" s="12"/>
      <c r="G676" s="12"/>
      <c r="H676" s="13">
        <v>85</v>
      </c>
      <c r="I676" s="14" t="s">
        <v>11</v>
      </c>
    </row>
    <row r="677" spans="1:9" ht="31.2">
      <c r="A677" s="15">
        <v>3033316</v>
      </c>
      <c r="B677" s="8" t="s">
        <v>1281</v>
      </c>
      <c r="C677" s="35" t="s">
        <v>1282</v>
      </c>
      <c r="D677" s="12"/>
      <c r="E677" s="17" t="s">
        <v>14</v>
      </c>
      <c r="F677" s="12"/>
      <c r="G677" s="12"/>
      <c r="H677" s="13">
        <v>85</v>
      </c>
      <c r="I677" s="14" t="s">
        <v>11</v>
      </c>
    </row>
    <row r="678" spans="1:9" ht="46.8">
      <c r="A678" s="15">
        <v>2953584</v>
      </c>
      <c r="B678" s="8" t="s">
        <v>1283</v>
      </c>
      <c r="C678" s="35" t="s">
        <v>1284</v>
      </c>
      <c r="D678" s="12"/>
      <c r="E678" s="17" t="s">
        <v>14</v>
      </c>
      <c r="F678" s="12"/>
      <c r="G678" s="12"/>
      <c r="H678" s="13">
        <v>85</v>
      </c>
      <c r="I678" s="14" t="s">
        <v>11</v>
      </c>
    </row>
    <row r="679" spans="1:9" ht="31.2">
      <c r="A679" s="15">
        <v>2953583</v>
      </c>
      <c r="B679" s="8" t="s">
        <v>1285</v>
      </c>
      <c r="C679" s="35" t="s">
        <v>1286</v>
      </c>
      <c r="D679" s="12"/>
      <c r="E679" s="17" t="s">
        <v>14</v>
      </c>
      <c r="F679" s="12"/>
      <c r="G679" s="12"/>
      <c r="H679" s="13">
        <v>85</v>
      </c>
      <c r="I679" s="14" t="s">
        <v>11</v>
      </c>
    </row>
    <row r="680" spans="1:9" ht="46.8">
      <c r="A680" s="15">
        <v>3298210</v>
      </c>
      <c r="B680" s="8" t="s">
        <v>1287</v>
      </c>
      <c r="C680" s="35" t="s">
        <v>1288</v>
      </c>
      <c r="D680" s="12"/>
      <c r="E680" s="11" t="str">
        <f>HYPERLINK("https://search.ancestryinstitution.com/aird/search/db.aspx?dbid=60882","Ancestry.com")</f>
        <v>Ancestry.com</v>
      </c>
      <c r="F680" s="12"/>
      <c r="G680" s="12"/>
      <c r="H680" s="13">
        <v>85</v>
      </c>
      <c r="I680" s="14" t="s">
        <v>11</v>
      </c>
    </row>
    <row r="681" spans="1:9" ht="46.8">
      <c r="A681" s="15">
        <v>2983379</v>
      </c>
      <c r="B681" s="8" t="s">
        <v>1289</v>
      </c>
      <c r="C681" s="35" t="s">
        <v>1290</v>
      </c>
      <c r="D681" s="12"/>
      <c r="E681" s="17" t="s">
        <v>14</v>
      </c>
      <c r="F681" s="12"/>
      <c r="G681" s="12"/>
      <c r="H681" s="13">
        <v>85</v>
      </c>
      <c r="I681" s="14" t="s">
        <v>11</v>
      </c>
    </row>
    <row r="682" spans="1:9" ht="31.2">
      <c r="A682" s="15">
        <v>3000104</v>
      </c>
      <c r="B682" s="8" t="s">
        <v>1291</v>
      </c>
      <c r="C682" s="35" t="s">
        <v>1292</v>
      </c>
      <c r="D682" s="12"/>
      <c r="E682" s="17" t="s">
        <v>14</v>
      </c>
      <c r="F682" s="12"/>
      <c r="G682" s="12"/>
      <c r="H682" s="13">
        <v>85</v>
      </c>
      <c r="I682" s="14" t="s">
        <v>11</v>
      </c>
    </row>
    <row r="683" spans="1:9" ht="31.2">
      <c r="A683" s="15">
        <v>3000080</v>
      </c>
      <c r="B683" s="8" t="s">
        <v>1293</v>
      </c>
      <c r="C683" s="35" t="s">
        <v>1294</v>
      </c>
      <c r="D683" s="12"/>
      <c r="E683" s="17" t="s">
        <v>14</v>
      </c>
      <c r="F683" s="12"/>
      <c r="G683" s="12"/>
      <c r="H683" s="13">
        <v>85</v>
      </c>
      <c r="I683" s="14" t="s">
        <v>11</v>
      </c>
    </row>
    <row r="684" spans="1:9" ht="31.2">
      <c r="A684" s="15">
        <v>3000090</v>
      </c>
      <c r="B684" s="8" t="s">
        <v>1295</v>
      </c>
      <c r="C684" s="35" t="s">
        <v>1296</v>
      </c>
      <c r="D684" s="12"/>
      <c r="E684" s="17" t="s">
        <v>14</v>
      </c>
      <c r="F684" s="12"/>
      <c r="G684" s="12"/>
      <c r="H684" s="13">
        <v>85</v>
      </c>
      <c r="I684" s="14" t="s">
        <v>11</v>
      </c>
    </row>
    <row r="685" spans="1:9" ht="31.2">
      <c r="A685" s="15">
        <v>3679388</v>
      </c>
      <c r="B685" s="8" t="s">
        <v>1297</v>
      </c>
      <c r="C685" s="16" t="s">
        <v>1298</v>
      </c>
      <c r="D685" s="11"/>
      <c r="E685" s="19" t="s">
        <v>14</v>
      </c>
      <c r="F685" s="12"/>
      <c r="G685" s="12"/>
      <c r="H685" s="13">
        <v>85</v>
      </c>
      <c r="I685" s="14" t="s">
        <v>15</v>
      </c>
    </row>
    <row r="686" spans="1:9" ht="46.8">
      <c r="A686" s="15">
        <v>3000059</v>
      </c>
      <c r="B686" s="8" t="s">
        <v>1299</v>
      </c>
      <c r="C686" s="35" t="s">
        <v>1300</v>
      </c>
      <c r="D686" s="12"/>
      <c r="E686" s="11" t="str">
        <f t="shared" ref="E686:E693" si="28">HYPERLINK("https://search.ancestryinstitution.com/aird/search/db.aspx?dbid=2055","Ancestry.com")</f>
        <v>Ancestry.com</v>
      </c>
      <c r="F686" s="12"/>
      <c r="G686" s="12"/>
      <c r="H686" s="13">
        <v>85</v>
      </c>
      <c r="I686" s="14" t="s">
        <v>11</v>
      </c>
    </row>
    <row r="687" spans="1:9" ht="46.8">
      <c r="A687" s="15">
        <v>3000062</v>
      </c>
      <c r="B687" s="8" t="s">
        <v>1301</v>
      </c>
      <c r="C687" s="35" t="s">
        <v>1302</v>
      </c>
      <c r="D687" s="12"/>
      <c r="E687" s="11" t="str">
        <f t="shared" si="28"/>
        <v>Ancestry.com</v>
      </c>
      <c r="F687" s="12"/>
      <c r="G687" s="12"/>
      <c r="H687" s="13">
        <v>85</v>
      </c>
      <c r="I687" s="14" t="s">
        <v>11</v>
      </c>
    </row>
    <row r="688" spans="1:9" ht="62.4">
      <c r="A688" s="15">
        <v>3000048</v>
      </c>
      <c r="B688" s="8" t="s">
        <v>1303</v>
      </c>
      <c r="C688" s="35" t="s">
        <v>1304</v>
      </c>
      <c r="D688" s="12"/>
      <c r="E688" s="11" t="str">
        <f t="shared" si="28"/>
        <v>Ancestry.com</v>
      </c>
      <c r="F688" s="12"/>
      <c r="G688" s="12"/>
      <c r="H688" s="13">
        <v>85</v>
      </c>
      <c r="I688" s="14" t="s">
        <v>11</v>
      </c>
    </row>
    <row r="689" spans="1:9" ht="46.8">
      <c r="A689" s="15">
        <v>3000094</v>
      </c>
      <c r="B689" s="8" t="s">
        <v>1305</v>
      </c>
      <c r="C689" s="16" t="s">
        <v>1306</v>
      </c>
      <c r="D689" s="12"/>
      <c r="E689" s="11" t="str">
        <f t="shared" si="28"/>
        <v>Ancestry.com</v>
      </c>
      <c r="F689" s="12"/>
      <c r="G689" s="12"/>
      <c r="H689" s="13">
        <v>85</v>
      </c>
      <c r="I689" s="14" t="s">
        <v>15</v>
      </c>
    </row>
    <row r="690" spans="1:9" ht="46.8">
      <c r="A690" s="15">
        <v>3000054</v>
      </c>
      <c r="B690" s="8" t="s">
        <v>1307</v>
      </c>
      <c r="C690" s="35" t="s">
        <v>1308</v>
      </c>
      <c r="D690" s="12"/>
      <c r="E690" s="11" t="str">
        <f t="shared" si="28"/>
        <v>Ancestry.com</v>
      </c>
      <c r="F690" s="12"/>
      <c r="G690" s="12"/>
      <c r="H690" s="13">
        <v>85</v>
      </c>
      <c r="I690" s="14" t="s">
        <v>11</v>
      </c>
    </row>
    <row r="691" spans="1:9" ht="62.4">
      <c r="A691" s="15">
        <v>3684373</v>
      </c>
      <c r="B691" s="8" t="s">
        <v>1309</v>
      </c>
      <c r="C691" s="35" t="s">
        <v>1310</v>
      </c>
      <c r="D691" s="12"/>
      <c r="E691" s="11" t="str">
        <f t="shared" si="28"/>
        <v>Ancestry.com</v>
      </c>
      <c r="F691" s="12"/>
      <c r="G691" s="12"/>
      <c r="H691" s="13">
        <v>85</v>
      </c>
      <c r="I691" s="14" t="s">
        <v>11</v>
      </c>
    </row>
    <row r="692" spans="1:9" ht="62.4">
      <c r="A692" s="15">
        <v>2996074</v>
      </c>
      <c r="B692" s="8" t="s">
        <v>1311</v>
      </c>
      <c r="C692" s="35" t="s">
        <v>1312</v>
      </c>
      <c r="D692" s="12"/>
      <c r="E692" s="11" t="str">
        <f t="shared" si="28"/>
        <v>Ancestry.com</v>
      </c>
      <c r="F692" s="12"/>
      <c r="G692" s="12"/>
      <c r="H692" s="13">
        <v>85</v>
      </c>
      <c r="I692" s="14" t="s">
        <v>11</v>
      </c>
    </row>
    <row r="693" spans="1:9" ht="46.8">
      <c r="A693" s="15">
        <v>3000073</v>
      </c>
      <c r="B693" s="8" t="s">
        <v>1313</v>
      </c>
      <c r="C693" s="16" t="s">
        <v>1314</v>
      </c>
      <c r="D693" s="12"/>
      <c r="E693" s="11" t="str">
        <f t="shared" si="28"/>
        <v>Ancestry.com</v>
      </c>
      <c r="F693" s="12"/>
      <c r="G693" s="12"/>
      <c r="H693" s="13">
        <v>85</v>
      </c>
      <c r="I693" s="14" t="s">
        <v>15</v>
      </c>
    </row>
    <row r="694" spans="1:9" ht="62.4">
      <c r="A694" s="15">
        <v>2990470</v>
      </c>
      <c r="B694" s="8" t="s">
        <v>1315</v>
      </c>
      <c r="C694" s="35" t="s">
        <v>1316</v>
      </c>
      <c r="D694" s="12"/>
      <c r="E694" s="11" t="str">
        <f>HYPERLINK("https://search.ancestryinstitution.com/aird/search/db.aspx?dbid=2055'","Ancestry.com")</f>
        <v>Ancestry.com</v>
      </c>
      <c r="F694" s="12"/>
      <c r="G694" s="12"/>
      <c r="H694" s="13">
        <v>85</v>
      </c>
      <c r="I694" s="14" t="s">
        <v>11</v>
      </c>
    </row>
    <row r="695" spans="1:9" ht="46.8">
      <c r="A695" s="15">
        <v>3695200</v>
      </c>
      <c r="B695" s="8" t="s">
        <v>1317</v>
      </c>
      <c r="C695" s="16" t="s">
        <v>1318</v>
      </c>
      <c r="D695" s="12"/>
      <c r="E695" s="17" t="s">
        <v>14</v>
      </c>
      <c r="F695" s="12"/>
      <c r="G695" s="12"/>
      <c r="H695" s="13">
        <v>85</v>
      </c>
      <c r="I695" s="14" t="s">
        <v>15</v>
      </c>
    </row>
    <row r="696" spans="1:9" ht="46.8">
      <c r="A696" s="15">
        <v>3002715</v>
      </c>
      <c r="B696" s="8" t="s">
        <v>1319</v>
      </c>
      <c r="C696" s="35" t="s">
        <v>1320</v>
      </c>
      <c r="D696" s="12"/>
      <c r="E696" s="11" t="str">
        <f>HYPERLINK("https://search.ancestryinstitution.com/aird/search/db.aspx?dbid=2055","Ancestry.com")</f>
        <v>Ancestry.com</v>
      </c>
      <c r="F696" s="12"/>
      <c r="G696" s="12"/>
      <c r="H696" s="13">
        <v>85</v>
      </c>
      <c r="I696" s="14" t="s">
        <v>11</v>
      </c>
    </row>
    <row r="697" spans="1:9" ht="46.8">
      <c r="A697" s="15">
        <v>3282406</v>
      </c>
      <c r="B697" s="8" t="s">
        <v>1321</v>
      </c>
      <c r="C697" s="16" t="s">
        <v>1322</v>
      </c>
      <c r="D697" s="12"/>
      <c r="E697" s="11" t="str">
        <f>HYPERLINK("https://search.ancestryinstitution.com/aird/search/db.aspx?dbid=60882","Ancestry.com")</f>
        <v>Ancestry.com</v>
      </c>
      <c r="F697" s="12"/>
      <c r="G697" s="12"/>
      <c r="H697" s="13">
        <v>85</v>
      </c>
      <c r="I697" s="14" t="s">
        <v>15</v>
      </c>
    </row>
    <row r="698" spans="1:9" ht="31.2">
      <c r="A698" s="15">
        <v>2902171</v>
      </c>
      <c r="B698" s="8" t="s">
        <v>1323</v>
      </c>
      <c r="C698" s="16" t="s">
        <v>1324</v>
      </c>
      <c r="D698" s="12"/>
      <c r="E698" s="17" t="s">
        <v>14</v>
      </c>
      <c r="F698" s="12"/>
      <c r="G698" s="12"/>
      <c r="H698" s="13">
        <v>85</v>
      </c>
      <c r="I698" s="14" t="s">
        <v>15</v>
      </c>
    </row>
    <row r="699" spans="1:9" ht="46.8">
      <c r="A699" s="15">
        <v>2915672</v>
      </c>
      <c r="B699" s="8" t="s">
        <v>1325</v>
      </c>
      <c r="C699" s="35" t="s">
        <v>1326</v>
      </c>
      <c r="D699" s="12"/>
      <c r="E699" s="11" t="str">
        <f>HYPERLINK("https://search.ancestryinstitution.com/aird/search/db.aspx?dbid=8769","Ancestry.com")</f>
        <v>Ancestry.com</v>
      </c>
      <c r="F699" s="12"/>
      <c r="G699" s="12"/>
      <c r="H699" s="13">
        <v>85</v>
      </c>
      <c r="I699" s="14" t="s">
        <v>18</v>
      </c>
    </row>
    <row r="700" spans="1:9" ht="46.8">
      <c r="A700" s="15">
        <v>2953520</v>
      </c>
      <c r="B700" s="8" t="s">
        <v>1327</v>
      </c>
      <c r="C700" s="16" t="s">
        <v>1328</v>
      </c>
      <c r="D700" s="12"/>
      <c r="E700" s="11" t="str">
        <f>HYPERLINK("https://search.ancestryinstitution.com/aird/search/db.aspx?dbid=9127","Ancestry.com")</f>
        <v>Ancestry.com</v>
      </c>
      <c r="F700" s="12"/>
      <c r="G700" s="12"/>
      <c r="H700" s="13">
        <v>85</v>
      </c>
      <c r="I700" s="14" t="s">
        <v>15</v>
      </c>
    </row>
    <row r="701" spans="1:9" ht="46.8">
      <c r="A701" s="15">
        <v>3431514</v>
      </c>
      <c r="B701" s="8" t="s">
        <v>1329</v>
      </c>
      <c r="C701" s="35" t="s">
        <v>1330</v>
      </c>
      <c r="D701" s="12"/>
      <c r="E701" s="11" t="str">
        <f t="shared" ref="E701:E702" si="29">HYPERLINK("https://search.ancestryinstitution.com/aird/search/db.aspx?dbid=60882","Ancestry.com")</f>
        <v>Ancestry.com</v>
      </c>
      <c r="F701" s="12"/>
      <c r="G701" s="12"/>
      <c r="H701" s="13">
        <v>85</v>
      </c>
      <c r="I701" s="14" t="s">
        <v>18</v>
      </c>
    </row>
    <row r="702" spans="1:9" ht="46.8">
      <c r="A702" s="15">
        <v>3431529</v>
      </c>
      <c r="B702" s="8" t="s">
        <v>1331</v>
      </c>
      <c r="C702" s="35" t="s">
        <v>1332</v>
      </c>
      <c r="D702" s="12"/>
      <c r="E702" s="11" t="str">
        <f t="shared" si="29"/>
        <v>Ancestry.com</v>
      </c>
      <c r="F702" s="12"/>
      <c r="G702" s="12"/>
      <c r="H702" s="13">
        <v>85</v>
      </c>
      <c r="I702" s="14" t="s">
        <v>18</v>
      </c>
    </row>
    <row r="703" spans="1:9" ht="46.8">
      <c r="A703" s="15">
        <v>2945529</v>
      </c>
      <c r="B703" s="8" t="s">
        <v>1333</v>
      </c>
      <c r="C703" s="35" t="s">
        <v>1334</v>
      </c>
      <c r="D703" s="12"/>
      <c r="E703" s="11" t="str">
        <f>HYPERLINK("https://search.ancestryinstitution.com/aird/search/db.aspx?dbid=7949","Ancestry.com")</f>
        <v>Ancestry.com</v>
      </c>
      <c r="F703" s="12"/>
      <c r="G703" s="12"/>
      <c r="H703" s="13">
        <v>85</v>
      </c>
      <c r="I703" s="14" t="s">
        <v>18</v>
      </c>
    </row>
    <row r="704" spans="1:9" ht="46.8">
      <c r="A704" s="15">
        <v>2945867</v>
      </c>
      <c r="B704" s="8" t="s">
        <v>1335</v>
      </c>
      <c r="C704" s="16" t="s">
        <v>1336</v>
      </c>
      <c r="D704" s="12"/>
      <c r="E704" s="17" t="s">
        <v>14</v>
      </c>
      <c r="F704" s="12"/>
      <c r="G704" s="12"/>
      <c r="H704" s="13">
        <v>85</v>
      </c>
      <c r="I704" s="14" t="s">
        <v>15</v>
      </c>
    </row>
    <row r="705" spans="1:9" ht="31.2">
      <c r="A705" s="15">
        <v>3249873</v>
      </c>
      <c r="B705" s="8" t="s">
        <v>1337</v>
      </c>
      <c r="C705" s="35" t="s">
        <v>1338</v>
      </c>
      <c r="D705" s="12"/>
      <c r="E705" s="11" t="str">
        <f>HYPERLINK("https://search.ancestryinstitution.com/aird/search/db.aspx?dbid=60882","Ancestry.com")</f>
        <v>Ancestry.com</v>
      </c>
      <c r="F705" s="12"/>
      <c r="G705" s="12"/>
      <c r="H705" s="13">
        <v>85</v>
      </c>
      <c r="I705" s="14" t="s">
        <v>11</v>
      </c>
    </row>
    <row r="706" spans="1:9" ht="31.2">
      <c r="A706" s="15">
        <v>2953576</v>
      </c>
      <c r="B706" s="8" t="s">
        <v>1339</v>
      </c>
      <c r="C706" s="35" t="s">
        <v>1340</v>
      </c>
      <c r="D706" s="12"/>
      <c r="E706" s="11" t="str">
        <f>HYPERLINK("https://search.ancestryinstitution.com/aird/search/db.aspx?dbid=1075","Ancestry.com")</f>
        <v>Ancestry.com</v>
      </c>
      <c r="F706" s="12"/>
      <c r="G706" s="12"/>
      <c r="H706" s="13">
        <v>85</v>
      </c>
      <c r="I706" s="14" t="s">
        <v>11</v>
      </c>
    </row>
    <row r="707" spans="1:9" ht="46.8">
      <c r="A707" s="15">
        <v>3033330</v>
      </c>
      <c r="B707" s="8" t="s">
        <v>1341</v>
      </c>
      <c r="C707" s="16" t="s">
        <v>1342</v>
      </c>
      <c r="D707" s="12"/>
      <c r="E707" s="11" t="str">
        <f>HYPERLINK("https://search.ancestryinstitution.com/aird/search/db.aspx?dbid=8945","Ancestry.com")</f>
        <v>Ancestry.com</v>
      </c>
      <c r="F707" s="12"/>
      <c r="G707" s="12"/>
      <c r="H707" s="13">
        <v>85</v>
      </c>
      <c r="I707" s="14" t="s">
        <v>15</v>
      </c>
    </row>
    <row r="708" spans="1:9" ht="46.8">
      <c r="A708" s="15">
        <v>3477961</v>
      </c>
      <c r="B708" s="8" t="s">
        <v>1343</v>
      </c>
      <c r="C708" s="16" t="s">
        <v>1344</v>
      </c>
      <c r="D708" s="12"/>
      <c r="E708" s="11" t="str">
        <f>HYPERLINK("https://search.ancestryinstitution.com/aird/search/db.aspx?dbid=60882","Ancestry.com")</f>
        <v>Ancestry.com</v>
      </c>
      <c r="F708" s="12"/>
      <c r="G708" s="12"/>
      <c r="H708" s="13">
        <v>85</v>
      </c>
      <c r="I708" s="14" t="s">
        <v>15</v>
      </c>
    </row>
    <row r="709" spans="1:9" ht="46.8">
      <c r="A709" s="15">
        <v>3053949</v>
      </c>
      <c r="B709" s="8" t="s">
        <v>1345</v>
      </c>
      <c r="C709" s="16" t="s">
        <v>1346</v>
      </c>
      <c r="D709" s="12"/>
      <c r="E709" s="11" t="str">
        <f>HYPERLINK("https://search.ancestryinstitution.com/aird/search/db.aspx?dbid=60981","Ancestry.com")</f>
        <v>Ancestry.com</v>
      </c>
      <c r="F709" s="12"/>
      <c r="G709" s="12"/>
      <c r="H709" s="13">
        <v>85</v>
      </c>
      <c r="I709" s="14" t="s">
        <v>15</v>
      </c>
    </row>
    <row r="710" spans="1:9" ht="46.8">
      <c r="A710" s="15">
        <v>2990236</v>
      </c>
      <c r="B710" s="8" t="s">
        <v>1347</v>
      </c>
      <c r="C710" s="35" t="s">
        <v>1348</v>
      </c>
      <c r="D710" s="12"/>
      <c r="E710" s="11" t="str">
        <f t="shared" ref="E710:E711" si="30">HYPERLINK("https://search.ancestryinstitution.com/aird/search/db.aspx?dbid=9125","Ancestry.com")</f>
        <v>Ancestry.com</v>
      </c>
      <c r="F710" s="12"/>
      <c r="G710" s="12"/>
      <c r="H710" s="13">
        <v>85</v>
      </c>
      <c r="I710" s="14" t="s">
        <v>11</v>
      </c>
    </row>
    <row r="711" spans="1:9" ht="46.8">
      <c r="A711" s="15">
        <v>2990238</v>
      </c>
      <c r="B711" s="8" t="s">
        <v>1349</v>
      </c>
      <c r="C711" s="35" t="s">
        <v>1350</v>
      </c>
      <c r="D711" s="12"/>
      <c r="E711" s="11" t="str">
        <f t="shared" si="30"/>
        <v>Ancestry.com</v>
      </c>
      <c r="F711" s="12"/>
      <c r="G711" s="12"/>
      <c r="H711" s="13">
        <v>85</v>
      </c>
      <c r="I711" s="14" t="s">
        <v>11</v>
      </c>
    </row>
    <row r="712" spans="1:9" ht="46.8">
      <c r="A712" s="15">
        <v>2990065</v>
      </c>
      <c r="B712" s="8" t="s">
        <v>1351</v>
      </c>
      <c r="C712" s="16" t="s">
        <v>1352</v>
      </c>
      <c r="D712" s="12"/>
      <c r="E712" s="11" t="str">
        <f>HYPERLINK("https://search.ancestryinstitution.com/aird/search/db.aspx?dbid=8745","Ancestry.com")</f>
        <v>Ancestry.com</v>
      </c>
      <c r="F712" s="12"/>
      <c r="G712" s="12"/>
      <c r="H712" s="13">
        <v>85</v>
      </c>
      <c r="I712" s="14" t="s">
        <v>15</v>
      </c>
    </row>
    <row r="713" spans="1:9" ht="31.2">
      <c r="A713" s="15">
        <v>2990227</v>
      </c>
      <c r="B713" s="8" t="s">
        <v>1353</v>
      </c>
      <c r="C713" s="35" t="s">
        <v>1354</v>
      </c>
      <c r="D713" s="12"/>
      <c r="E713" s="11" t="str">
        <f>HYPERLINK("https://search.ancestryinstitution.com/aird/search/db.aspx?dbid=1277","Ancestry.com")</f>
        <v>Ancestry.com</v>
      </c>
      <c r="F713" s="12"/>
      <c r="G713" s="12"/>
      <c r="H713" s="13">
        <v>85</v>
      </c>
      <c r="I713" s="14" t="s">
        <v>18</v>
      </c>
    </row>
    <row r="714" spans="1:9" ht="46.8">
      <c r="A714" s="15">
        <v>2867024</v>
      </c>
      <c r="B714" s="8" t="s">
        <v>1355</v>
      </c>
      <c r="C714" s="35" t="s">
        <v>1356</v>
      </c>
      <c r="D714" s="12"/>
      <c r="E714" s="17" t="s">
        <v>14</v>
      </c>
      <c r="F714" s="12"/>
      <c r="G714" s="12"/>
      <c r="H714" s="13">
        <v>85</v>
      </c>
      <c r="I714" s="14" t="s">
        <v>18</v>
      </c>
    </row>
    <row r="715" spans="1:9" ht="31.2">
      <c r="A715" s="15">
        <v>2990217</v>
      </c>
      <c r="B715" s="8" t="s">
        <v>1357</v>
      </c>
      <c r="C715" s="35" t="s">
        <v>1358</v>
      </c>
      <c r="D715" s="12"/>
      <c r="E715" s="17" t="s">
        <v>14</v>
      </c>
      <c r="F715" s="12"/>
      <c r="G715" s="12"/>
      <c r="H715" s="13">
        <v>85</v>
      </c>
      <c r="I715" s="14" t="s">
        <v>11</v>
      </c>
    </row>
    <row r="716" spans="1:9" ht="31.2">
      <c r="A716" s="15">
        <v>2990242</v>
      </c>
      <c r="B716" s="8" t="s">
        <v>1359</v>
      </c>
      <c r="C716" s="34" t="s">
        <v>1360</v>
      </c>
      <c r="D716" s="12"/>
      <c r="E716" s="17" t="s">
        <v>14</v>
      </c>
      <c r="F716" s="12"/>
      <c r="G716" s="12"/>
      <c r="H716" s="13">
        <v>85</v>
      </c>
      <c r="I716" s="14" t="s">
        <v>11</v>
      </c>
    </row>
    <row r="717" spans="1:9" ht="31.2">
      <c r="A717" s="15">
        <v>3021165</v>
      </c>
      <c r="B717" s="8" t="s">
        <v>1361</v>
      </c>
      <c r="C717" s="35" t="s">
        <v>1362</v>
      </c>
      <c r="D717" s="12"/>
      <c r="E717" s="17" t="s">
        <v>14</v>
      </c>
      <c r="F717" s="12"/>
      <c r="G717" s="12"/>
      <c r="H717" s="13">
        <v>85</v>
      </c>
      <c r="I717" s="14" t="s">
        <v>18</v>
      </c>
    </row>
    <row r="718" spans="1:9" ht="31.2">
      <c r="A718" s="15">
        <v>2990262</v>
      </c>
      <c r="B718" s="8" t="s">
        <v>1363</v>
      </c>
      <c r="C718" s="16" t="s">
        <v>1364</v>
      </c>
      <c r="D718" s="12"/>
      <c r="E718" s="11" t="str">
        <f>HYPERLINK("https://search.ancestryinstitution.com/aird/search/db.aspx?dbid=9220","Ancestry.com")</f>
        <v>Ancestry.com</v>
      </c>
      <c r="F718" s="12"/>
      <c r="G718" s="12"/>
      <c r="H718" s="13">
        <v>85</v>
      </c>
      <c r="I718" s="14" t="s">
        <v>15</v>
      </c>
    </row>
    <row r="719" spans="1:9" ht="46.8">
      <c r="A719" s="15">
        <v>2990259</v>
      </c>
      <c r="B719" s="8" t="s">
        <v>1365</v>
      </c>
      <c r="C719" s="16" t="s">
        <v>1366</v>
      </c>
      <c r="D719" s="12"/>
      <c r="E719" s="17" t="s">
        <v>14</v>
      </c>
      <c r="F719" s="12"/>
      <c r="G719" s="12"/>
      <c r="H719" s="13">
        <v>85</v>
      </c>
      <c r="I719" s="14" t="s">
        <v>15</v>
      </c>
    </row>
    <row r="720" spans="1:9" ht="62.4">
      <c r="A720" s="15">
        <v>2945904</v>
      </c>
      <c r="B720" s="8" t="s">
        <v>1367</v>
      </c>
      <c r="C720" s="16" t="s">
        <v>1368</v>
      </c>
      <c r="D720" s="11"/>
      <c r="E720" s="19" t="s">
        <v>14</v>
      </c>
      <c r="F720" s="12"/>
      <c r="G720" s="12"/>
      <c r="H720" s="13">
        <v>85</v>
      </c>
      <c r="I720" s="14" t="s">
        <v>15</v>
      </c>
    </row>
    <row r="721" spans="1:9" ht="31.2">
      <c r="A721" s="15">
        <v>3179955</v>
      </c>
      <c r="B721" s="8" t="s">
        <v>1369</v>
      </c>
      <c r="C721" s="35" t="s">
        <v>1370</v>
      </c>
      <c r="D721" s="12"/>
      <c r="E721" s="11" t="str">
        <f t="shared" ref="E721:E725" si="31">HYPERLINK("https://search.ancestryinstitution.com/aird/search/db.aspx?dbid=60882","Ancestry.com")</f>
        <v>Ancestry.com</v>
      </c>
      <c r="F721" s="12"/>
      <c r="G721" s="12"/>
      <c r="H721" s="13">
        <v>85</v>
      </c>
      <c r="I721" s="14" t="s">
        <v>18</v>
      </c>
    </row>
    <row r="722" spans="1:9" ht="46.8">
      <c r="A722" s="15">
        <v>3190100</v>
      </c>
      <c r="B722" s="8" t="s">
        <v>1371</v>
      </c>
      <c r="C722" s="34" t="s">
        <v>1372</v>
      </c>
      <c r="D722" s="12"/>
      <c r="E722" s="11" t="str">
        <f t="shared" si="31"/>
        <v>Ancestry.com</v>
      </c>
      <c r="F722" s="12"/>
      <c r="G722" s="12"/>
      <c r="H722" s="13">
        <v>85</v>
      </c>
      <c r="I722" s="14" t="s">
        <v>18</v>
      </c>
    </row>
    <row r="723" spans="1:9" ht="62.4">
      <c r="A723" s="15">
        <v>2990054</v>
      </c>
      <c r="B723" s="8" t="s">
        <v>1373</v>
      </c>
      <c r="C723" s="35" t="s">
        <v>1374</v>
      </c>
      <c r="D723" s="12"/>
      <c r="E723" s="11" t="str">
        <f t="shared" si="31"/>
        <v>Ancestry.com</v>
      </c>
      <c r="F723" s="12"/>
      <c r="G723" s="12"/>
      <c r="H723" s="13">
        <v>85</v>
      </c>
      <c r="I723" s="14" t="s">
        <v>11</v>
      </c>
    </row>
    <row r="724" spans="1:9" ht="46.8">
      <c r="A724" s="15">
        <v>3226865</v>
      </c>
      <c r="B724" s="8" t="s">
        <v>1375</v>
      </c>
      <c r="C724" s="16" t="s">
        <v>1376</v>
      </c>
      <c r="D724" s="12"/>
      <c r="E724" s="11" t="str">
        <f t="shared" si="31"/>
        <v>Ancestry.com</v>
      </c>
      <c r="F724" s="12"/>
      <c r="G724" s="12"/>
      <c r="H724" s="13">
        <v>85</v>
      </c>
      <c r="I724" s="14" t="s">
        <v>15</v>
      </c>
    </row>
    <row r="725" spans="1:9" ht="46.8">
      <c r="A725" s="15">
        <v>3229319</v>
      </c>
      <c r="B725" s="8" t="s">
        <v>1377</v>
      </c>
      <c r="C725" s="16" t="s">
        <v>1378</v>
      </c>
      <c r="D725" s="12"/>
      <c r="E725" s="11" t="str">
        <f t="shared" si="31"/>
        <v>Ancestry.com</v>
      </c>
      <c r="F725" s="12"/>
      <c r="G725" s="12"/>
      <c r="H725" s="13">
        <v>85</v>
      </c>
      <c r="I725" s="14" t="s">
        <v>15</v>
      </c>
    </row>
    <row r="726" spans="1:9" ht="46.8">
      <c r="A726" s="15">
        <v>2990457</v>
      </c>
      <c r="B726" s="8" t="s">
        <v>1379</v>
      </c>
      <c r="C726" s="16" t="s">
        <v>1380</v>
      </c>
      <c r="D726" s="11"/>
      <c r="E726" s="19" t="s">
        <v>14</v>
      </c>
      <c r="F726" s="12"/>
      <c r="G726" s="12"/>
      <c r="H726" s="13">
        <v>85</v>
      </c>
      <c r="I726" s="14" t="s">
        <v>15</v>
      </c>
    </row>
    <row r="727" spans="1:9" ht="46.8">
      <c r="A727" s="15">
        <v>3281796</v>
      </c>
      <c r="B727" s="8" t="s">
        <v>1381</v>
      </c>
      <c r="C727" s="16" t="s">
        <v>1382</v>
      </c>
      <c r="D727" s="12"/>
      <c r="E727" s="18" t="s">
        <v>14</v>
      </c>
      <c r="F727" s="12"/>
      <c r="G727" s="12"/>
      <c r="H727" s="13">
        <v>85</v>
      </c>
      <c r="I727" s="14" t="s">
        <v>15</v>
      </c>
    </row>
    <row r="728" spans="1:9" ht="31.2">
      <c r="A728" s="15">
        <v>3432817</v>
      </c>
      <c r="B728" s="8" t="s">
        <v>1383</v>
      </c>
      <c r="C728" s="34" t="s">
        <v>1384</v>
      </c>
      <c r="D728" s="12"/>
      <c r="E728" s="11" t="str">
        <f>HYPERLINK("https://search.ancestryinstitution.com/aird/search/db.aspx?dbid=60882","Ancestry.com")</f>
        <v>Ancestry.com</v>
      </c>
      <c r="F728" s="12"/>
      <c r="G728" s="12"/>
      <c r="H728" s="13">
        <v>85</v>
      </c>
      <c r="I728" s="14" t="s">
        <v>18</v>
      </c>
    </row>
    <row r="729" spans="1:9" ht="46.8">
      <c r="A729" s="15">
        <v>2945816</v>
      </c>
      <c r="B729" s="8" t="s">
        <v>1385</v>
      </c>
      <c r="C729" s="16" t="s">
        <v>1386</v>
      </c>
      <c r="D729" s="12"/>
      <c r="E729" s="17" t="s">
        <v>14</v>
      </c>
      <c r="F729" s="12"/>
      <c r="G729" s="12"/>
      <c r="H729" s="13">
        <v>85</v>
      </c>
      <c r="I729" s="14" t="s">
        <v>15</v>
      </c>
    </row>
    <row r="730" spans="1:9" ht="46.8">
      <c r="A730" s="15">
        <v>3249881</v>
      </c>
      <c r="B730" s="8" t="s">
        <v>1387</v>
      </c>
      <c r="C730" s="35" t="s">
        <v>1388</v>
      </c>
      <c r="D730" s="12"/>
      <c r="E730" s="11" t="str">
        <f t="shared" ref="E730:E737" si="32">HYPERLINK("https://search.ancestryinstitution.com/aird/search/db.aspx?dbid=60882","Ancestry.com")</f>
        <v>Ancestry.com</v>
      </c>
      <c r="F730" s="12"/>
      <c r="G730" s="12"/>
      <c r="H730" s="13">
        <v>85</v>
      </c>
      <c r="I730" s="14" t="s">
        <v>11</v>
      </c>
    </row>
    <row r="731" spans="1:9" ht="31.2">
      <c r="A731" s="15">
        <v>3179971</v>
      </c>
      <c r="B731" s="8" t="s">
        <v>1389</v>
      </c>
      <c r="C731" s="16" t="s">
        <v>1390</v>
      </c>
      <c r="D731" s="12"/>
      <c r="E731" s="11" t="str">
        <f t="shared" si="32"/>
        <v>Ancestry.com</v>
      </c>
      <c r="F731" s="12"/>
      <c r="G731" s="12"/>
      <c r="H731" s="13">
        <v>85</v>
      </c>
      <c r="I731" s="14" t="s">
        <v>15</v>
      </c>
    </row>
    <row r="732" spans="1:9" ht="31.2">
      <c r="A732" s="15">
        <v>3190015</v>
      </c>
      <c r="B732" s="8" t="s">
        <v>1391</v>
      </c>
      <c r="C732" s="16" t="s">
        <v>1392</v>
      </c>
      <c r="D732" s="12"/>
      <c r="E732" s="11" t="str">
        <f t="shared" si="32"/>
        <v>Ancestry.com</v>
      </c>
      <c r="F732" s="12"/>
      <c r="G732" s="12"/>
      <c r="H732" s="13">
        <v>85</v>
      </c>
      <c r="I732" s="14" t="s">
        <v>15</v>
      </c>
    </row>
    <row r="733" spans="1:9" ht="46.8">
      <c r="A733" s="15">
        <v>3190017</v>
      </c>
      <c r="B733" s="8" t="s">
        <v>1393</v>
      </c>
      <c r="C733" s="35" t="s">
        <v>1394</v>
      </c>
      <c r="D733" s="12"/>
      <c r="E733" s="11" t="str">
        <f t="shared" si="32"/>
        <v>Ancestry.com</v>
      </c>
      <c r="F733" s="12"/>
      <c r="G733" s="12"/>
      <c r="H733" s="13">
        <v>85</v>
      </c>
      <c r="I733" s="14" t="s">
        <v>18</v>
      </c>
    </row>
    <row r="734" spans="1:9" ht="46.8">
      <c r="A734" s="15">
        <v>3190090</v>
      </c>
      <c r="B734" s="8" t="s">
        <v>1395</v>
      </c>
      <c r="C734" s="34" t="s">
        <v>1396</v>
      </c>
      <c r="D734" s="12"/>
      <c r="E734" s="11" t="str">
        <f t="shared" si="32"/>
        <v>Ancestry.com</v>
      </c>
      <c r="F734" s="12"/>
      <c r="G734" s="12"/>
      <c r="H734" s="13">
        <v>85</v>
      </c>
      <c r="I734" s="14" t="s">
        <v>892</v>
      </c>
    </row>
    <row r="735" spans="1:9" ht="62.4">
      <c r="A735" s="15">
        <v>3491461</v>
      </c>
      <c r="B735" s="8" t="s">
        <v>1397</v>
      </c>
      <c r="C735" s="35" t="s">
        <v>1398</v>
      </c>
      <c r="D735" s="12"/>
      <c r="E735" s="11" t="str">
        <f t="shared" si="32"/>
        <v>Ancestry.com</v>
      </c>
      <c r="F735" s="12"/>
      <c r="G735" s="12"/>
      <c r="H735" s="13">
        <v>85</v>
      </c>
      <c r="I735" s="14" t="s">
        <v>11</v>
      </c>
    </row>
    <row r="736" spans="1:9" ht="46.8">
      <c r="A736" s="15">
        <v>3493126</v>
      </c>
      <c r="B736" s="8" t="s">
        <v>1399</v>
      </c>
      <c r="C736" s="34" t="s">
        <v>1400</v>
      </c>
      <c r="D736" s="12"/>
      <c r="E736" s="11" t="str">
        <f t="shared" si="32"/>
        <v>Ancestry.com</v>
      </c>
      <c r="F736" s="12"/>
      <c r="G736" s="12"/>
      <c r="H736" s="13">
        <v>85</v>
      </c>
      <c r="I736" s="14" t="s">
        <v>892</v>
      </c>
    </row>
    <row r="737" spans="1:9" ht="46.8">
      <c r="A737" s="15">
        <v>3231885</v>
      </c>
      <c r="B737" s="8" t="s">
        <v>1401</v>
      </c>
      <c r="C737" s="35" t="s">
        <v>1402</v>
      </c>
      <c r="D737" s="12"/>
      <c r="E737" s="11" t="str">
        <f t="shared" si="32"/>
        <v>Ancestry.com</v>
      </c>
      <c r="F737" s="12"/>
      <c r="G737" s="12"/>
      <c r="H737" s="13">
        <v>85</v>
      </c>
      <c r="I737" s="14" t="s">
        <v>18</v>
      </c>
    </row>
    <row r="738" spans="1:9" ht="46.8">
      <c r="A738" s="15">
        <v>3226850</v>
      </c>
      <c r="B738" s="8" t="s">
        <v>1403</v>
      </c>
      <c r="C738" s="37" t="s">
        <v>1404</v>
      </c>
      <c r="D738" s="12"/>
      <c r="E738" s="17" t="s">
        <v>14</v>
      </c>
      <c r="F738" s="12"/>
      <c r="G738" s="12"/>
      <c r="H738" s="13">
        <v>85</v>
      </c>
      <c r="I738" s="14" t="s">
        <v>15</v>
      </c>
    </row>
    <row r="739" spans="1:9" ht="31.2">
      <c r="A739" s="15">
        <v>2574390</v>
      </c>
      <c r="B739" s="8" t="s">
        <v>1405</v>
      </c>
      <c r="C739" s="35" t="s">
        <v>1406</v>
      </c>
      <c r="D739" s="12"/>
      <c r="E739" s="17" t="s">
        <v>14</v>
      </c>
      <c r="F739" s="12"/>
      <c r="G739" s="12"/>
      <c r="H739" s="13">
        <v>85</v>
      </c>
      <c r="I739" s="23" t="s">
        <v>11</v>
      </c>
    </row>
    <row r="740" spans="1:9" ht="31.2">
      <c r="A740" s="15">
        <v>3535514</v>
      </c>
      <c r="B740" s="8" t="s">
        <v>1407</v>
      </c>
      <c r="C740" s="16" t="s">
        <v>1408</v>
      </c>
      <c r="D740" s="12"/>
      <c r="E740" s="17" t="s">
        <v>14</v>
      </c>
      <c r="F740" s="12"/>
      <c r="G740" s="12"/>
      <c r="H740" s="13">
        <v>85</v>
      </c>
      <c r="I740" s="14" t="s">
        <v>15</v>
      </c>
    </row>
    <row r="741" spans="1:9" ht="62.4">
      <c r="A741" s="15">
        <v>2867018</v>
      </c>
      <c r="B741" s="8" t="s">
        <v>1409</v>
      </c>
      <c r="C741" s="16" t="s">
        <v>1410</v>
      </c>
      <c r="D741" s="12"/>
      <c r="E741" s="17" t="s">
        <v>14</v>
      </c>
      <c r="F741" s="12"/>
      <c r="G741" s="12"/>
      <c r="H741" s="13">
        <v>85</v>
      </c>
      <c r="I741" s="14" t="s">
        <v>15</v>
      </c>
    </row>
    <row r="742" spans="1:9" ht="46.8">
      <c r="A742" s="15">
        <v>3260229</v>
      </c>
      <c r="B742" s="8" t="s">
        <v>1411</v>
      </c>
      <c r="C742" s="35" t="s">
        <v>1412</v>
      </c>
      <c r="D742" s="12"/>
      <c r="E742" s="11" t="str">
        <f t="shared" ref="E742:E743" si="33">HYPERLINK("https://search.ancestryinstitution.com/aird/search/db.aspx?dbid=60882","Ancestry.com")</f>
        <v>Ancestry.com</v>
      </c>
      <c r="F742" s="12"/>
      <c r="G742" s="12"/>
      <c r="H742" s="13">
        <v>85</v>
      </c>
      <c r="I742" s="14" t="s">
        <v>18</v>
      </c>
    </row>
    <row r="743" spans="1:9" ht="31.2">
      <c r="A743" s="15">
        <v>3179965</v>
      </c>
      <c r="B743" s="8" t="s">
        <v>1413</v>
      </c>
      <c r="C743" s="16" t="s">
        <v>1414</v>
      </c>
      <c r="D743" s="12"/>
      <c r="E743" s="11" t="str">
        <f t="shared" si="33"/>
        <v>Ancestry.com</v>
      </c>
      <c r="F743" s="12"/>
      <c r="G743" s="12"/>
      <c r="H743" s="13">
        <v>85</v>
      </c>
      <c r="I743" s="14" t="s">
        <v>15</v>
      </c>
    </row>
    <row r="744" spans="1:9" ht="46.8">
      <c r="A744" s="15">
        <v>2990078</v>
      </c>
      <c r="B744" s="8" t="s">
        <v>1415</v>
      </c>
      <c r="C744" s="16" t="s">
        <v>1416</v>
      </c>
      <c r="D744" s="11"/>
      <c r="E744" s="19" t="s">
        <v>14</v>
      </c>
      <c r="F744" s="12"/>
      <c r="G744" s="12"/>
      <c r="H744" s="13">
        <v>85</v>
      </c>
      <c r="I744" s="14" t="s">
        <v>15</v>
      </c>
    </row>
    <row r="745" spans="1:9" ht="46.8">
      <c r="A745" s="15">
        <v>3335533</v>
      </c>
      <c r="B745" s="8" t="s">
        <v>1417</v>
      </c>
      <c r="C745" s="34" t="s">
        <v>1418</v>
      </c>
      <c r="D745" s="12"/>
      <c r="E745" s="11" t="str">
        <f t="shared" ref="E745:E747" si="34">HYPERLINK("https://search.ancestryinstitution.com/aird/search/db.aspx?dbid=60882","Ancestry.com")</f>
        <v>Ancestry.com</v>
      </c>
      <c r="F745" s="12"/>
      <c r="G745" s="12"/>
      <c r="H745" s="13">
        <v>85</v>
      </c>
      <c r="I745" s="14" t="s">
        <v>11</v>
      </c>
    </row>
    <row r="746" spans="1:9" ht="46.8">
      <c r="A746" s="15">
        <v>3335518</v>
      </c>
      <c r="B746" s="8" t="s">
        <v>1419</v>
      </c>
      <c r="C746" s="16" t="s">
        <v>1420</v>
      </c>
      <c r="D746" s="12"/>
      <c r="E746" s="11" t="str">
        <f t="shared" si="34"/>
        <v>Ancestry.com</v>
      </c>
      <c r="F746" s="12"/>
      <c r="G746" s="12"/>
      <c r="H746" s="13">
        <v>85</v>
      </c>
      <c r="I746" s="14" t="s">
        <v>15</v>
      </c>
    </row>
    <row r="747" spans="1:9" ht="46.8">
      <c r="A747" s="15">
        <v>3334698</v>
      </c>
      <c r="B747" s="8" t="s">
        <v>1421</v>
      </c>
      <c r="C747" s="35" t="s">
        <v>1422</v>
      </c>
      <c r="D747" s="12"/>
      <c r="E747" s="11" t="str">
        <f t="shared" si="34"/>
        <v>Ancestry.com</v>
      </c>
      <c r="F747" s="12"/>
      <c r="G747" s="12"/>
      <c r="H747" s="13">
        <v>85</v>
      </c>
      <c r="I747" s="14" t="s">
        <v>18</v>
      </c>
    </row>
    <row r="748" spans="1:9" ht="46.8">
      <c r="A748" s="15">
        <v>2867023</v>
      </c>
      <c r="B748" s="8" t="s">
        <v>1423</v>
      </c>
      <c r="C748" s="16" t="s">
        <v>1424</v>
      </c>
      <c r="D748" s="11"/>
      <c r="E748" s="58" t="s">
        <v>14</v>
      </c>
      <c r="F748" s="12"/>
      <c r="G748" s="12"/>
      <c r="H748" s="13">
        <v>85</v>
      </c>
      <c r="I748" s="14" t="s">
        <v>15</v>
      </c>
    </row>
    <row r="749" spans="1:9" ht="31.2">
      <c r="A749" s="15">
        <v>3514916</v>
      </c>
      <c r="B749" s="8" t="s">
        <v>1425</v>
      </c>
      <c r="C749" s="35" t="s">
        <v>1426</v>
      </c>
      <c r="D749" s="12"/>
      <c r="E749" s="11" t="str">
        <f>HYPERLINK("https://search.ancestryinstitution.com/aird/search/db.aspx?dbid=60882","Ancestry.com")</f>
        <v>Ancestry.com</v>
      </c>
      <c r="F749" s="12"/>
      <c r="G749" s="12"/>
      <c r="H749" s="13">
        <v>85</v>
      </c>
      <c r="I749" s="14" t="s">
        <v>18</v>
      </c>
    </row>
    <row r="750" spans="1:9" ht="31.2">
      <c r="A750" s="15">
        <v>3514915</v>
      </c>
      <c r="B750" s="8" t="s">
        <v>1427</v>
      </c>
      <c r="C750" s="16" t="s">
        <v>1428</v>
      </c>
      <c r="D750" s="12"/>
      <c r="E750" s="17" t="s">
        <v>14</v>
      </c>
      <c r="F750" s="12"/>
      <c r="G750" s="12"/>
      <c r="H750" s="13">
        <v>85</v>
      </c>
      <c r="I750" s="14" t="s">
        <v>15</v>
      </c>
    </row>
    <row r="751" spans="1:9" ht="31.2">
      <c r="A751" s="15">
        <v>3514913</v>
      </c>
      <c r="B751" s="8" t="s">
        <v>1429</v>
      </c>
      <c r="C751" s="16" t="s">
        <v>1430</v>
      </c>
      <c r="D751" s="12"/>
      <c r="E751" s="17" t="s">
        <v>14</v>
      </c>
      <c r="F751" s="12"/>
      <c r="G751" s="12"/>
      <c r="H751" s="13">
        <v>85</v>
      </c>
      <c r="I751" s="14" t="s">
        <v>15</v>
      </c>
    </row>
    <row r="752" spans="1:9" ht="46.8">
      <c r="A752" s="15">
        <v>3174862</v>
      </c>
      <c r="B752" s="8" t="s">
        <v>1431</v>
      </c>
      <c r="C752" s="35" t="s">
        <v>1432</v>
      </c>
      <c r="D752" s="12"/>
      <c r="E752" s="11" t="str">
        <f t="shared" ref="E752:E754" si="35">HYPERLINK("https://search.ancestryinstitution.com/aird/search/db.aspx?dbid=60882","Ancestry.com")</f>
        <v>Ancestry.com</v>
      </c>
      <c r="F752" s="12"/>
      <c r="G752" s="12"/>
      <c r="H752" s="13">
        <v>85</v>
      </c>
      <c r="I752" s="14" t="s">
        <v>18</v>
      </c>
    </row>
    <row r="753" spans="1:9" ht="31.2">
      <c r="A753" s="15">
        <v>3174885</v>
      </c>
      <c r="B753" s="8" t="s">
        <v>1433</v>
      </c>
      <c r="C753" s="35" t="s">
        <v>1434</v>
      </c>
      <c r="D753" s="12"/>
      <c r="E753" s="11" t="str">
        <f t="shared" si="35"/>
        <v>Ancestry.com</v>
      </c>
      <c r="F753" s="12"/>
      <c r="G753" s="12"/>
      <c r="H753" s="13">
        <v>85</v>
      </c>
      <c r="I753" s="14" t="s">
        <v>18</v>
      </c>
    </row>
    <row r="754" spans="1:9" ht="46.8">
      <c r="A754" s="15">
        <v>4713134</v>
      </c>
      <c r="B754" s="8" t="s">
        <v>1435</v>
      </c>
      <c r="C754" s="35" t="s">
        <v>1436</v>
      </c>
      <c r="D754" s="12"/>
      <c r="E754" s="11" t="str">
        <f t="shared" si="35"/>
        <v>Ancestry.com</v>
      </c>
      <c r="F754" s="12"/>
      <c r="G754" s="12"/>
      <c r="H754" s="13">
        <v>85</v>
      </c>
      <c r="I754" s="14" t="s">
        <v>18</v>
      </c>
    </row>
    <row r="755" spans="1:9" ht="31.2">
      <c r="A755" s="15">
        <v>2990076</v>
      </c>
      <c r="B755" s="8" t="s">
        <v>1437</v>
      </c>
      <c r="C755" s="16" t="s">
        <v>1438</v>
      </c>
      <c r="D755" s="11"/>
      <c r="E755" s="19" t="s">
        <v>14</v>
      </c>
      <c r="F755" s="12"/>
      <c r="G755" s="12"/>
      <c r="H755" s="13">
        <v>85</v>
      </c>
      <c r="I755" s="14" t="s">
        <v>15</v>
      </c>
    </row>
    <row r="756" spans="1:9" ht="46.8">
      <c r="A756" s="15">
        <v>2934442</v>
      </c>
      <c r="B756" s="8" t="s">
        <v>1439</v>
      </c>
      <c r="C756" s="16" t="s">
        <v>1440</v>
      </c>
      <c r="D756" s="12"/>
      <c r="E756" s="17" t="s">
        <v>14</v>
      </c>
      <c r="F756" s="12"/>
      <c r="G756" s="12"/>
      <c r="H756" s="13">
        <v>85</v>
      </c>
      <c r="I756" s="14" t="s">
        <v>15</v>
      </c>
    </row>
    <row r="757" spans="1:9" ht="31.2">
      <c r="A757" s="15">
        <v>3440945</v>
      </c>
      <c r="B757" s="8" t="s">
        <v>1441</v>
      </c>
      <c r="C757" s="16" t="s">
        <v>1442</v>
      </c>
      <c r="D757" s="11"/>
      <c r="E757" s="19" t="s">
        <v>14</v>
      </c>
      <c r="F757" s="12"/>
      <c r="G757" s="12"/>
      <c r="H757" s="13">
        <v>85</v>
      </c>
      <c r="I757" s="14" t="s">
        <v>15</v>
      </c>
    </row>
    <row r="758" spans="1:9" ht="31.2">
      <c r="A758" s="15">
        <v>3008030</v>
      </c>
      <c r="B758" s="8" t="s">
        <v>1443</v>
      </c>
      <c r="C758" s="35" t="s">
        <v>1444</v>
      </c>
      <c r="D758" s="12"/>
      <c r="E758" s="17" t="s">
        <v>14</v>
      </c>
      <c r="F758" s="12"/>
      <c r="G758" s="12"/>
      <c r="H758" s="13">
        <v>85</v>
      </c>
      <c r="I758" s="14" t="s">
        <v>11</v>
      </c>
    </row>
    <row r="759" spans="1:9" ht="31.2">
      <c r="A759" s="15">
        <v>3020754</v>
      </c>
      <c r="B759" s="8" t="s">
        <v>1445</v>
      </c>
      <c r="C759" s="59" t="s">
        <v>1446</v>
      </c>
      <c r="D759" s="12"/>
      <c r="E759" s="17" t="s">
        <v>14</v>
      </c>
      <c r="F759" s="11" t="str">
        <f>HYPERLINK("https://www.familysearch.org/search/catalog/3160724?availability=Family%20History%20Library","FamilySearch.org")</f>
        <v>FamilySearch.org</v>
      </c>
      <c r="G759" s="12"/>
      <c r="H759" s="13">
        <v>85</v>
      </c>
      <c r="I759" s="23" t="s">
        <v>11</v>
      </c>
    </row>
    <row r="760" spans="1:9" ht="46.8">
      <c r="A760" s="15">
        <v>3535490</v>
      </c>
      <c r="B760" s="8" t="s">
        <v>1447</v>
      </c>
      <c r="C760" s="35" t="s">
        <v>1448</v>
      </c>
      <c r="D760" s="12"/>
      <c r="E760" s="17" t="s">
        <v>14</v>
      </c>
      <c r="F760" s="12"/>
      <c r="G760" s="12"/>
      <c r="H760" s="13">
        <v>85</v>
      </c>
      <c r="I760" s="14" t="s">
        <v>11</v>
      </c>
    </row>
    <row r="761" spans="1:9" ht="46.8">
      <c r="A761" s="15">
        <v>3535586</v>
      </c>
      <c r="B761" s="8" t="s">
        <v>1449</v>
      </c>
      <c r="C761" s="35" t="s">
        <v>1450</v>
      </c>
      <c r="D761" s="12"/>
      <c r="E761" s="17" t="s">
        <v>14</v>
      </c>
      <c r="F761" s="12"/>
      <c r="G761" s="12"/>
      <c r="H761" s="13">
        <v>85</v>
      </c>
      <c r="I761" s="14" t="s">
        <v>11</v>
      </c>
    </row>
    <row r="762" spans="1:9" ht="46.8">
      <c r="A762" s="15">
        <v>3752663</v>
      </c>
      <c r="B762" s="8" t="s">
        <v>1451</v>
      </c>
      <c r="C762" s="16" t="s">
        <v>1452</v>
      </c>
      <c r="D762" s="12"/>
      <c r="E762" s="17" t="s">
        <v>14</v>
      </c>
      <c r="F762" s="12"/>
      <c r="G762" s="12"/>
      <c r="H762" s="13">
        <v>85</v>
      </c>
      <c r="I762" s="14" t="s">
        <v>15</v>
      </c>
    </row>
    <row r="763" spans="1:9" ht="62.4">
      <c r="A763" s="15">
        <v>2945985</v>
      </c>
      <c r="B763" s="8" t="s">
        <v>1453</v>
      </c>
      <c r="C763" s="16" t="s">
        <v>1454</v>
      </c>
      <c r="D763" s="12"/>
      <c r="E763" s="11" t="str">
        <f>HYPERLINK("https://search.ancestry.com/search/db.aspx?dbid=8679","Ancestry.com")</f>
        <v>Ancestry.com</v>
      </c>
      <c r="F763" s="12"/>
      <c r="G763" s="12"/>
      <c r="H763" s="13">
        <v>85</v>
      </c>
      <c r="I763" s="14" t="s">
        <v>15</v>
      </c>
    </row>
    <row r="764" spans="1:9" ht="46.8">
      <c r="A764" s="15">
        <v>3670373</v>
      </c>
      <c r="B764" s="8" t="s">
        <v>1455</v>
      </c>
      <c r="C764" s="16" t="s">
        <v>1456</v>
      </c>
      <c r="D764" s="12"/>
      <c r="E764" s="17" t="s">
        <v>14</v>
      </c>
      <c r="F764" s="12"/>
      <c r="G764" s="12"/>
      <c r="H764" s="13">
        <v>85</v>
      </c>
      <c r="I764" s="14" t="s">
        <v>15</v>
      </c>
    </row>
    <row r="765" spans="1:9" ht="31.2">
      <c r="A765" s="15">
        <v>3527506</v>
      </c>
      <c r="B765" s="8" t="s">
        <v>1457</v>
      </c>
      <c r="C765" s="16" t="s">
        <v>1458</v>
      </c>
      <c r="D765" s="12"/>
      <c r="E765" s="17" t="s">
        <v>14</v>
      </c>
      <c r="F765" s="12"/>
      <c r="G765" s="12"/>
      <c r="H765" s="13">
        <v>85</v>
      </c>
      <c r="I765" s="14" t="s">
        <v>15</v>
      </c>
    </row>
    <row r="766" spans="1:9" ht="31.2">
      <c r="A766" s="15">
        <v>3720065</v>
      </c>
      <c r="B766" s="8" t="s">
        <v>1459</v>
      </c>
      <c r="C766" s="16" t="s">
        <v>1460</v>
      </c>
      <c r="D766" s="12"/>
      <c r="E766" s="17" t="s">
        <v>14</v>
      </c>
      <c r="F766" s="12"/>
      <c r="G766" s="12"/>
      <c r="H766" s="13">
        <v>85</v>
      </c>
      <c r="I766" s="14" t="s">
        <v>15</v>
      </c>
    </row>
    <row r="767" spans="1:9" ht="62.4">
      <c r="A767" s="15">
        <v>3686199</v>
      </c>
      <c r="B767" s="8" t="s">
        <v>1461</v>
      </c>
      <c r="C767" s="35" t="s">
        <v>1462</v>
      </c>
      <c r="D767" s="12"/>
      <c r="E767" s="11" t="str">
        <f>HYPERLINK("https://search.ancestryinstitution.com/aird/search/db.aspx?dbid=1075","Ancestry.com")</f>
        <v>Ancestry.com</v>
      </c>
      <c r="F767" s="12"/>
      <c r="G767" s="12"/>
      <c r="H767" s="13">
        <v>85</v>
      </c>
      <c r="I767" s="14" t="s">
        <v>11</v>
      </c>
    </row>
    <row r="768" spans="1:9" ht="31.2">
      <c r="A768" s="15">
        <v>3773800</v>
      </c>
      <c r="B768" s="8" t="s">
        <v>1463</v>
      </c>
      <c r="C768" s="16" t="s">
        <v>1464</v>
      </c>
      <c r="D768" s="12"/>
      <c r="E768" s="17" t="s">
        <v>14</v>
      </c>
      <c r="F768" s="12"/>
      <c r="G768" s="12"/>
      <c r="H768" s="13">
        <v>85</v>
      </c>
      <c r="I768" s="14" t="s">
        <v>15</v>
      </c>
    </row>
    <row r="769" spans="1:9" ht="46.8">
      <c r="A769" s="15">
        <v>3778810</v>
      </c>
      <c r="B769" s="8" t="s">
        <v>1465</v>
      </c>
      <c r="C769" s="16" t="s">
        <v>1466</v>
      </c>
      <c r="D769" s="12"/>
      <c r="E769" s="17" t="s">
        <v>14</v>
      </c>
      <c r="F769" s="12"/>
      <c r="G769" s="12"/>
      <c r="H769" s="13">
        <v>85</v>
      </c>
      <c r="I769" s="14" t="s">
        <v>15</v>
      </c>
    </row>
    <row r="770" spans="1:9" ht="31.2">
      <c r="A770" s="15">
        <v>3778817</v>
      </c>
      <c r="B770" s="8" t="s">
        <v>1467</v>
      </c>
      <c r="C770" s="16" t="s">
        <v>1468</v>
      </c>
      <c r="D770" s="11"/>
      <c r="E770" s="19" t="s">
        <v>14</v>
      </c>
      <c r="F770" s="12"/>
      <c r="G770" s="12"/>
      <c r="H770" s="13">
        <v>85</v>
      </c>
      <c r="I770" s="14" t="s">
        <v>15</v>
      </c>
    </row>
    <row r="771" spans="1:9" ht="46.8">
      <c r="A771" s="15">
        <v>3783840</v>
      </c>
      <c r="B771" s="8" t="s">
        <v>1469</v>
      </c>
      <c r="C771" s="35" t="s">
        <v>1470</v>
      </c>
      <c r="D771" s="12"/>
      <c r="E771" s="17" t="s">
        <v>14</v>
      </c>
      <c r="F771" s="12"/>
      <c r="G771" s="12"/>
      <c r="H771" s="13">
        <v>85</v>
      </c>
      <c r="I771" s="14" t="s">
        <v>11</v>
      </c>
    </row>
    <row r="772" spans="1:9" ht="46.8">
      <c r="A772" s="15">
        <v>4076541</v>
      </c>
      <c r="B772" s="8" t="s">
        <v>1471</v>
      </c>
      <c r="C772" s="35" t="s">
        <v>1472</v>
      </c>
      <c r="D772" s="12"/>
      <c r="E772" s="11" t="str">
        <f>HYPERLINK("https://search.ancestryinstitution.com/aird/search/db.aspx?dbid=8769","Ancestry.com")</f>
        <v>Ancestry.com</v>
      </c>
      <c r="F772" s="12"/>
      <c r="G772" s="12"/>
      <c r="H772" s="13">
        <v>85</v>
      </c>
      <c r="I772" s="23" t="s">
        <v>11</v>
      </c>
    </row>
    <row r="773" spans="1:9" ht="46.8">
      <c r="A773" s="15">
        <v>4477138</v>
      </c>
      <c r="B773" s="8" t="s">
        <v>1473</v>
      </c>
      <c r="C773" s="35" t="s">
        <v>1474</v>
      </c>
      <c r="D773" s="12"/>
      <c r="E773" s="12"/>
      <c r="F773" s="11" t="s">
        <v>43</v>
      </c>
      <c r="G773" s="12"/>
      <c r="H773" s="13">
        <v>85</v>
      </c>
      <c r="I773" s="23" t="s">
        <v>11</v>
      </c>
    </row>
    <row r="774" spans="1:9" ht="78">
      <c r="A774" s="15">
        <v>122225354</v>
      </c>
      <c r="B774" s="8" t="s">
        <v>1475</v>
      </c>
      <c r="C774" s="35" t="s">
        <v>1476</v>
      </c>
      <c r="D774" s="12"/>
      <c r="E774" s="17" t="s">
        <v>14</v>
      </c>
      <c r="F774" s="11" t="s">
        <v>43</v>
      </c>
      <c r="G774" s="12"/>
      <c r="H774" s="13">
        <v>85</v>
      </c>
      <c r="I774" s="23" t="s">
        <v>11</v>
      </c>
    </row>
    <row r="775" spans="1:9" ht="31.2">
      <c r="A775" s="15">
        <v>978244</v>
      </c>
      <c r="B775" s="8" t="s">
        <v>1477</v>
      </c>
      <c r="C775" s="16" t="s">
        <v>1478</v>
      </c>
      <c r="D775" s="12"/>
      <c r="E775" s="17" t="s">
        <v>14</v>
      </c>
      <c r="F775" s="12"/>
      <c r="G775" s="12"/>
      <c r="H775" s="13">
        <v>210</v>
      </c>
      <c r="I775" s="14" t="s">
        <v>15</v>
      </c>
    </row>
    <row r="776" spans="1:9" ht="31.2">
      <c r="A776" s="15">
        <v>1661897</v>
      </c>
      <c r="B776" s="8" t="s">
        <v>1479</v>
      </c>
      <c r="C776" s="35" t="s">
        <v>1480</v>
      </c>
      <c r="D776" s="17" t="s">
        <v>220</v>
      </c>
      <c r="E776" s="12"/>
      <c r="F776" s="12"/>
      <c r="G776" s="12"/>
      <c r="H776" s="13">
        <v>125</v>
      </c>
      <c r="I776" s="23" t="s">
        <v>11</v>
      </c>
    </row>
    <row r="777" spans="1:9" ht="31.2">
      <c r="A777" s="15">
        <v>1661893</v>
      </c>
      <c r="B777" s="8" t="s">
        <v>1481</v>
      </c>
      <c r="C777" s="35" t="s">
        <v>1482</v>
      </c>
      <c r="D777" s="11" t="str">
        <f>HYPERLINK("https://www.fold3.com/title/491/wwii-jag-case-files-pacific-army","Fold3.com")</f>
        <v>Fold3.com</v>
      </c>
      <c r="E777" s="12"/>
      <c r="F777" s="12"/>
      <c r="G777" s="12"/>
      <c r="H777" s="13">
        <v>153</v>
      </c>
      <c r="I777" s="23" t="s">
        <v>11</v>
      </c>
    </row>
    <row r="778" spans="1:9" ht="46.8">
      <c r="A778" s="15">
        <v>4857882</v>
      </c>
      <c r="B778" s="8" t="s">
        <v>1483</v>
      </c>
      <c r="C778" s="35" t="s">
        <v>1484</v>
      </c>
      <c r="D778" s="11" t="s">
        <v>220</v>
      </c>
      <c r="E778" s="12"/>
      <c r="F778" s="12"/>
      <c r="G778" s="12"/>
      <c r="H778" s="13">
        <v>260</v>
      </c>
      <c r="I778" s="23" t="s">
        <v>11</v>
      </c>
    </row>
    <row r="779" spans="1:9" ht="46.8">
      <c r="A779" s="15">
        <v>5686152</v>
      </c>
      <c r="B779" s="8" t="s">
        <v>1485</v>
      </c>
      <c r="C779" s="35" t="s">
        <v>1486</v>
      </c>
      <c r="D779" s="11" t="s">
        <v>220</v>
      </c>
      <c r="E779" s="12"/>
      <c r="F779" s="12"/>
      <c r="G779" s="12"/>
      <c r="H779" s="13">
        <v>260</v>
      </c>
      <c r="I779" s="23" t="s">
        <v>11</v>
      </c>
    </row>
    <row r="780" spans="1:9" ht="31.2">
      <c r="A780" s="15">
        <v>2353541</v>
      </c>
      <c r="B780" s="8" t="s">
        <v>1487</v>
      </c>
      <c r="C780" s="16" t="s">
        <v>1488</v>
      </c>
      <c r="D780" s="12"/>
      <c r="E780" s="17" t="s">
        <v>14</v>
      </c>
      <c r="F780" s="11" t="s">
        <v>1489</v>
      </c>
      <c r="G780" s="12"/>
      <c r="H780" s="13">
        <v>29</v>
      </c>
      <c r="I780" s="14" t="s">
        <v>15</v>
      </c>
    </row>
    <row r="781" spans="1:9" ht="31.2">
      <c r="A781" s="15">
        <v>2353529</v>
      </c>
      <c r="B781" s="8" t="s">
        <v>1490</v>
      </c>
      <c r="C781" s="16" t="s">
        <v>1491</v>
      </c>
      <c r="D781" s="12"/>
      <c r="E781" s="17" t="s">
        <v>14</v>
      </c>
      <c r="F781" s="11" t="s">
        <v>1489</v>
      </c>
      <c r="G781" s="12"/>
      <c r="H781" s="13">
        <v>29</v>
      </c>
      <c r="I781" s="14" t="s">
        <v>15</v>
      </c>
    </row>
    <row r="782" spans="1:9" ht="31.2">
      <c r="A782" s="15">
        <v>2353535</v>
      </c>
      <c r="B782" s="8" t="s">
        <v>1492</v>
      </c>
      <c r="C782" s="16" t="s">
        <v>1493</v>
      </c>
      <c r="D782" s="12"/>
      <c r="E782" s="17" t="s">
        <v>14</v>
      </c>
      <c r="F782" s="11" t="s">
        <v>1489</v>
      </c>
      <c r="G782" s="12"/>
      <c r="H782" s="13">
        <v>29</v>
      </c>
      <c r="I782" s="14" t="s">
        <v>15</v>
      </c>
    </row>
    <row r="783" spans="1:9" ht="31.2">
      <c r="A783" s="15">
        <v>568025</v>
      </c>
      <c r="B783" s="8" t="s">
        <v>1494</v>
      </c>
      <c r="C783" s="35" t="s">
        <v>1495</v>
      </c>
      <c r="D783" s="11" t="str">
        <f>HYPERLINK("https://www.fold3.com/title/72/domestic-letters-of-the-department-of-state","Fold3.com")</f>
        <v>Fold3.com</v>
      </c>
      <c r="E783" s="12"/>
      <c r="F783" s="12"/>
      <c r="G783" s="12"/>
      <c r="H783" s="13">
        <v>59</v>
      </c>
      <c r="I783" s="23" t="s">
        <v>11</v>
      </c>
    </row>
    <row r="784" spans="1:9" ht="31.2">
      <c r="A784" s="15">
        <v>593313</v>
      </c>
      <c r="B784" s="8" t="s">
        <v>1496</v>
      </c>
      <c r="C784" s="16" t="s">
        <v>1497</v>
      </c>
      <c r="D784" s="17" t="s">
        <v>220</v>
      </c>
      <c r="E784" s="12"/>
      <c r="F784" s="12"/>
      <c r="G784" s="12"/>
      <c r="H784" s="13">
        <v>59</v>
      </c>
      <c r="I784" s="14" t="s">
        <v>15</v>
      </c>
    </row>
    <row r="785" spans="1:9" ht="93.6">
      <c r="A785" s="7" t="s">
        <v>1498</v>
      </c>
      <c r="B785" s="8" t="s">
        <v>1499</v>
      </c>
      <c r="C785" s="35" t="s">
        <v>1500</v>
      </c>
      <c r="D785" s="11"/>
      <c r="E785" s="11"/>
      <c r="F785" s="12"/>
      <c r="G785" s="60" t="str">
        <f t="shared" ref="G785:G786" si="36">HYPERLINK("https://www.pmel.noaa.gov/rediscover/","National Oceanic and Atmospheric Administration (NOAA)")</f>
        <v>National Oceanic and Atmospheric Administration (NOAA)</v>
      </c>
      <c r="H785" s="20">
        <v>37</v>
      </c>
      <c r="I785" s="23" t="s">
        <v>18</v>
      </c>
    </row>
    <row r="786" spans="1:9" ht="93.6">
      <c r="A786" s="15" t="s">
        <v>1501</v>
      </c>
      <c r="B786" s="8" t="s">
        <v>1502</v>
      </c>
      <c r="C786" s="35" t="s">
        <v>1503</v>
      </c>
      <c r="D786" s="11"/>
      <c r="E786" s="11"/>
      <c r="F786" s="12"/>
      <c r="G786" s="60" t="str">
        <f t="shared" si="36"/>
        <v>National Oceanic and Atmospheric Administration (NOAA)</v>
      </c>
      <c r="H786" s="13">
        <v>45</v>
      </c>
      <c r="I786" s="14" t="s">
        <v>11</v>
      </c>
    </row>
    <row r="787" spans="1:9" ht="46.8">
      <c r="A787" s="15">
        <v>2602585</v>
      </c>
      <c r="B787" s="8" t="s">
        <v>1504</v>
      </c>
      <c r="C787" s="16" t="s">
        <v>1505</v>
      </c>
      <c r="D787" s="12"/>
      <c r="E787" s="17" t="s">
        <v>14</v>
      </c>
      <c r="F787" s="11" t="s">
        <v>43</v>
      </c>
      <c r="G787" s="12"/>
      <c r="H787" s="13">
        <v>15</v>
      </c>
      <c r="I787" s="14" t="s">
        <v>15</v>
      </c>
    </row>
    <row r="788" spans="1:9" ht="46.8">
      <c r="A788" s="15">
        <v>718927</v>
      </c>
      <c r="B788" s="8" t="s">
        <v>1506</v>
      </c>
      <c r="C788" s="49" t="str">
        <f>HYPERLINK("https://catalog.archives.gov/search?q=*:*&amp;f.ancestorNaIds=718927&amp;f.oldScope=online","Letters Received from Commissioned Officers Below the Rank of Commander and from Warrant Officers, 1802 - 1886")</f>
        <v>Letters Received from Commissioned Officers Below the Rank of Commander and from Warrant Officers, 1802 - 1886</v>
      </c>
      <c r="D788" s="11" t="str">
        <f>HYPERLINK("https://www.fold3.com/title/1013/navy-officers-letters-1802-1884","Fold3.com")</f>
        <v>Fold3.com</v>
      </c>
      <c r="E788" s="12"/>
      <c r="F788" s="12"/>
      <c r="G788" s="12"/>
      <c r="H788" s="13">
        <v>45</v>
      </c>
      <c r="I788" s="23" t="s">
        <v>18</v>
      </c>
    </row>
    <row r="789" spans="1:9" ht="31.2">
      <c r="A789" s="15">
        <v>2791166</v>
      </c>
      <c r="B789" s="8" t="s">
        <v>1507</v>
      </c>
      <c r="C789" s="16" t="s">
        <v>1508</v>
      </c>
      <c r="D789" s="12"/>
      <c r="E789" s="17" t="s">
        <v>14</v>
      </c>
      <c r="F789" s="12"/>
      <c r="G789" s="12"/>
      <c r="H789" s="13">
        <v>29</v>
      </c>
      <c r="I789" s="14" t="s">
        <v>15</v>
      </c>
    </row>
    <row r="790" spans="1:9" ht="78">
      <c r="A790" s="15" t="s">
        <v>1509</v>
      </c>
      <c r="B790" s="8" t="s">
        <v>1510</v>
      </c>
      <c r="C790" s="49" t="str">
        <f>HYPERLINK("https://catalog.archives.gov/search?q=M160&amp;f.level=fileunit&amp;f.recordGroupNoCollectionId=48","Records of the Office of the Secretary of the Interior Relating to the Suppression of the African Slave Trade and Negro Colonization, 1854-1872")</f>
        <v>Records of the Office of the Secretary of the Interior Relating to the Suppression of the African Slave Trade and Negro Colonization, 1854-1872</v>
      </c>
      <c r="D790" s="11" t="s">
        <v>220</v>
      </c>
      <c r="E790" s="12"/>
      <c r="F790" s="12"/>
      <c r="G790" s="12"/>
      <c r="H790" s="13">
        <v>48</v>
      </c>
      <c r="I790" s="14" t="s">
        <v>18</v>
      </c>
    </row>
    <row r="791" spans="1:9" ht="46.8">
      <c r="A791" s="15">
        <v>1518851</v>
      </c>
      <c r="B791" s="8" t="s">
        <v>1511</v>
      </c>
      <c r="C791" s="49" t="s">
        <v>1512</v>
      </c>
      <c r="D791" s="11" t="s">
        <v>220</v>
      </c>
      <c r="E791" s="12"/>
      <c r="F791" s="12"/>
      <c r="G791" s="12"/>
      <c r="H791" s="13">
        <v>267</v>
      </c>
      <c r="I791" s="23" t="s">
        <v>11</v>
      </c>
    </row>
    <row r="792" spans="1:9" ht="156">
      <c r="A792" s="15" t="s">
        <v>1513</v>
      </c>
      <c r="B792" s="8" t="s">
        <v>1514</v>
      </c>
      <c r="C792" s="16" t="s">
        <v>1515</v>
      </c>
      <c r="D792" s="17" t="s">
        <v>220</v>
      </c>
      <c r="E792" s="12"/>
      <c r="F792" s="12"/>
      <c r="G792" s="12"/>
      <c r="H792" s="13">
        <v>75</v>
      </c>
      <c r="I792" s="14" t="s">
        <v>15</v>
      </c>
    </row>
    <row r="793" spans="1:9" ht="46.8">
      <c r="A793" s="15" t="s">
        <v>1516</v>
      </c>
      <c r="B793" s="8" t="s">
        <v>1517</v>
      </c>
      <c r="C793" s="16" t="s">
        <v>1518</v>
      </c>
      <c r="D793" s="11" t="s">
        <v>220</v>
      </c>
      <c r="E793" s="17" t="s">
        <v>14</v>
      </c>
      <c r="F793" s="11" t="s">
        <v>43</v>
      </c>
      <c r="G793" s="12"/>
      <c r="H793" s="13">
        <v>94</v>
      </c>
      <c r="I793" s="14" t="s">
        <v>15</v>
      </c>
    </row>
    <row r="794" spans="1:9" ht="31.2">
      <c r="A794" s="15">
        <v>6256867</v>
      </c>
      <c r="B794" s="8" t="s">
        <v>1519</v>
      </c>
      <c r="C794" s="16" t="s">
        <v>1520</v>
      </c>
      <c r="D794" s="12"/>
      <c r="E794" s="17" t="s">
        <v>14</v>
      </c>
      <c r="F794" s="11" t="s">
        <v>43</v>
      </c>
      <c r="G794" s="12"/>
      <c r="H794" s="13">
        <v>36</v>
      </c>
      <c r="I794" s="14" t="s">
        <v>15</v>
      </c>
    </row>
    <row r="795" spans="1:9" ht="62.4">
      <c r="A795" s="15">
        <v>654513</v>
      </c>
      <c r="B795" s="8" t="s">
        <v>1521</v>
      </c>
      <c r="C795" s="16" t="s">
        <v>1522</v>
      </c>
      <c r="D795" s="12"/>
      <c r="E795" s="17" t="s">
        <v>14</v>
      </c>
      <c r="F795" s="12"/>
      <c r="G795" s="12"/>
      <c r="H795" s="13">
        <v>94</v>
      </c>
      <c r="I795" s="14" t="s">
        <v>15</v>
      </c>
    </row>
    <row r="796" spans="1:9" ht="31.2">
      <c r="A796" s="15">
        <v>602384</v>
      </c>
      <c r="B796" s="8" t="s">
        <v>1523</v>
      </c>
      <c r="C796" s="16" t="s">
        <v>1524</v>
      </c>
      <c r="D796" s="17" t="s">
        <v>220</v>
      </c>
      <c r="E796" s="17" t="s">
        <v>14</v>
      </c>
      <c r="F796" s="11" t="s">
        <v>43</v>
      </c>
      <c r="G796" s="12"/>
      <c r="H796" s="13">
        <v>93</v>
      </c>
      <c r="I796" s="14" t="s">
        <v>15</v>
      </c>
    </row>
    <row r="797" spans="1:9" ht="31.2">
      <c r="A797" s="15">
        <v>1938489</v>
      </c>
      <c r="B797" s="8" t="s">
        <v>1525</v>
      </c>
      <c r="C797" s="16" t="s">
        <v>1526</v>
      </c>
      <c r="D797" s="17" t="s">
        <v>220</v>
      </c>
      <c r="E797" s="12"/>
      <c r="F797" s="12"/>
      <c r="G797" s="12"/>
      <c r="H797" s="13">
        <v>360</v>
      </c>
      <c r="I797" s="14" t="s">
        <v>15</v>
      </c>
    </row>
    <row r="798" spans="1:9" ht="46.8">
      <c r="A798" s="15">
        <v>586957</v>
      </c>
      <c r="B798" s="8" t="s">
        <v>1527</v>
      </c>
      <c r="C798" s="35" t="s">
        <v>1528</v>
      </c>
      <c r="D798" s="17" t="s">
        <v>220</v>
      </c>
      <c r="E798" s="12"/>
      <c r="F798" s="11" t="s">
        <v>43</v>
      </c>
      <c r="G798" s="12"/>
      <c r="H798" s="13">
        <v>109</v>
      </c>
      <c r="I798" s="23" t="s">
        <v>11</v>
      </c>
    </row>
    <row r="799" spans="1:9" ht="31.2">
      <c r="A799" s="15">
        <v>2353533</v>
      </c>
      <c r="B799" s="8" t="s">
        <v>1529</v>
      </c>
      <c r="C799" s="16" t="s">
        <v>1530</v>
      </c>
      <c r="D799" s="12"/>
      <c r="E799" s="17" t="s">
        <v>14</v>
      </c>
      <c r="F799" s="11" t="s">
        <v>1489</v>
      </c>
      <c r="G799" s="12"/>
      <c r="H799" s="13">
        <v>29</v>
      </c>
      <c r="I799" s="14" t="s">
        <v>15</v>
      </c>
    </row>
    <row r="800" spans="1:9" ht="31.2">
      <c r="A800" s="15">
        <v>595129</v>
      </c>
      <c r="B800" s="8" t="s">
        <v>1531</v>
      </c>
      <c r="C800" s="16" t="s">
        <v>1532</v>
      </c>
      <c r="D800" s="12"/>
      <c r="E800" s="17" t="s">
        <v>14</v>
      </c>
      <c r="F800" s="12"/>
      <c r="G800" s="12"/>
      <c r="H800" s="13">
        <v>109</v>
      </c>
      <c r="I800" s="14" t="s">
        <v>15</v>
      </c>
    </row>
    <row r="801" spans="1:9" ht="31.2">
      <c r="A801" s="15">
        <v>17027507</v>
      </c>
      <c r="B801" s="8" t="s">
        <v>1533</v>
      </c>
      <c r="C801" s="16" t="s">
        <v>1534</v>
      </c>
      <c r="D801" s="12"/>
      <c r="E801" s="17" t="s">
        <v>14</v>
      </c>
      <c r="F801" s="11" t="s">
        <v>43</v>
      </c>
      <c r="G801" s="12"/>
      <c r="H801" s="13">
        <v>36</v>
      </c>
      <c r="I801" s="14" t="s">
        <v>15</v>
      </c>
    </row>
    <row r="802" spans="1:9" ht="78">
      <c r="A802" s="15">
        <v>654513</v>
      </c>
      <c r="B802" s="8" t="s">
        <v>1535</v>
      </c>
      <c r="C802" s="16" t="s">
        <v>1536</v>
      </c>
      <c r="D802" s="12"/>
      <c r="E802" s="17" t="s">
        <v>14</v>
      </c>
      <c r="F802" s="12"/>
      <c r="G802" s="12"/>
      <c r="H802" s="13">
        <v>94</v>
      </c>
      <c r="I802" s="14" t="s">
        <v>15</v>
      </c>
    </row>
    <row r="803" spans="1:9" ht="46.8">
      <c r="A803" s="15">
        <v>586957</v>
      </c>
      <c r="B803" s="8" t="s">
        <v>1537</v>
      </c>
      <c r="C803" s="35" t="s">
        <v>1538</v>
      </c>
      <c r="D803" s="17" t="s">
        <v>220</v>
      </c>
      <c r="E803" s="11" t="s">
        <v>14</v>
      </c>
      <c r="F803" s="11" t="s">
        <v>43</v>
      </c>
      <c r="G803" s="12"/>
      <c r="H803" s="13">
        <v>109</v>
      </c>
      <c r="I803" s="23" t="s">
        <v>11</v>
      </c>
    </row>
    <row r="804" spans="1:9" ht="31.2">
      <c r="A804" s="15" t="s">
        <v>1539</v>
      </c>
      <c r="B804" s="8" t="s">
        <v>1540</v>
      </c>
      <c r="C804" s="16" t="s">
        <v>1541</v>
      </c>
      <c r="D804" s="12"/>
      <c r="E804" s="17" t="s">
        <v>14</v>
      </c>
      <c r="F804" s="11" t="s">
        <v>43</v>
      </c>
      <c r="G804" s="12"/>
      <c r="H804" s="13">
        <v>36</v>
      </c>
      <c r="I804" s="14" t="s">
        <v>15</v>
      </c>
    </row>
    <row r="805" spans="1:9" ht="46.8">
      <c r="A805" s="15" t="s">
        <v>1542</v>
      </c>
      <c r="B805" s="8" t="s">
        <v>1543</v>
      </c>
      <c r="C805" s="16" t="s">
        <v>1544</v>
      </c>
      <c r="D805" s="12"/>
      <c r="E805" s="12"/>
      <c r="F805" s="11" t="s">
        <v>43</v>
      </c>
      <c r="G805" s="12"/>
      <c r="H805" s="13">
        <v>109</v>
      </c>
      <c r="I805" s="14" t="s">
        <v>15</v>
      </c>
    </row>
    <row r="806" spans="1:9" ht="31.2">
      <c r="A806" s="41" t="s">
        <v>332</v>
      </c>
      <c r="B806" s="42" t="s">
        <v>1545</v>
      </c>
      <c r="C806" s="43" t="s">
        <v>1546</v>
      </c>
      <c r="D806" s="44"/>
      <c r="E806" s="44"/>
      <c r="F806" s="61" t="s">
        <v>43</v>
      </c>
      <c r="G806" s="44"/>
      <c r="H806" s="46">
        <v>36</v>
      </c>
      <c r="I806" s="47" t="s">
        <v>15</v>
      </c>
    </row>
    <row r="807" spans="1:9" ht="31.2">
      <c r="A807" s="41" t="s">
        <v>332</v>
      </c>
      <c r="B807" s="42" t="s">
        <v>1547</v>
      </c>
      <c r="C807" s="43" t="s">
        <v>1548</v>
      </c>
      <c r="D807" s="44"/>
      <c r="E807" s="62" t="s">
        <v>14</v>
      </c>
      <c r="F807" s="44"/>
      <c r="G807" s="44"/>
      <c r="H807" s="46" t="s">
        <v>1549</v>
      </c>
      <c r="I807" s="47" t="s">
        <v>15</v>
      </c>
    </row>
    <row r="808" spans="1:9" ht="31.2">
      <c r="A808" s="41" t="s">
        <v>332</v>
      </c>
      <c r="B808" s="42" t="s">
        <v>1550</v>
      </c>
      <c r="C808" s="43" t="s">
        <v>1551</v>
      </c>
      <c r="D808" s="44"/>
      <c r="E808" s="44"/>
      <c r="F808" s="61" t="s">
        <v>43</v>
      </c>
      <c r="G808" s="44"/>
      <c r="H808" s="46">
        <v>92</v>
      </c>
      <c r="I808" s="47" t="s">
        <v>15</v>
      </c>
    </row>
    <row r="809" spans="1:9" ht="46.8">
      <c r="A809" s="15">
        <v>586957</v>
      </c>
      <c r="B809" s="8" t="s">
        <v>1552</v>
      </c>
      <c r="C809" s="35" t="s">
        <v>1553</v>
      </c>
      <c r="D809" s="17" t="s">
        <v>220</v>
      </c>
      <c r="E809" s="17" t="s">
        <v>14</v>
      </c>
      <c r="F809" s="11" t="s">
        <v>43</v>
      </c>
      <c r="G809" s="12"/>
      <c r="H809" s="13">
        <v>109</v>
      </c>
      <c r="I809" s="23" t="s">
        <v>11</v>
      </c>
    </row>
    <row r="810" spans="1:9" ht="46.8">
      <c r="A810" s="15">
        <v>586957</v>
      </c>
      <c r="B810" s="8" t="s">
        <v>1554</v>
      </c>
      <c r="C810" s="49" t="s">
        <v>1555</v>
      </c>
      <c r="D810" s="11" t="str">
        <f>HYPERLINK("https://www.fold3.com/title/39/civil-war-soldiers-confederate-sc#overview","Fold3.com")</f>
        <v>Fold3.com</v>
      </c>
      <c r="E810" s="17" t="s">
        <v>14</v>
      </c>
      <c r="F810" s="11" t="s">
        <v>43</v>
      </c>
      <c r="G810" s="12"/>
      <c r="H810" s="13">
        <v>109</v>
      </c>
      <c r="I810" s="23" t="s">
        <v>18</v>
      </c>
    </row>
    <row r="811" spans="1:9" ht="46.8">
      <c r="A811" s="15">
        <v>586957</v>
      </c>
      <c r="B811" s="8" t="s">
        <v>1556</v>
      </c>
      <c r="C811" s="35" t="s">
        <v>1557</v>
      </c>
      <c r="D811" s="17" t="s">
        <v>220</v>
      </c>
      <c r="E811" s="17" t="s">
        <v>14</v>
      </c>
      <c r="F811" s="11" t="s">
        <v>43</v>
      </c>
      <c r="G811" s="12"/>
      <c r="H811" s="13">
        <v>109</v>
      </c>
      <c r="I811" s="23" t="s">
        <v>11</v>
      </c>
    </row>
    <row r="812" spans="1:9" ht="46.8">
      <c r="A812" s="15">
        <v>586957</v>
      </c>
      <c r="B812" s="8" t="s">
        <v>1558</v>
      </c>
      <c r="C812" s="48" t="s">
        <v>1559</v>
      </c>
      <c r="D812" s="17" t="s">
        <v>220</v>
      </c>
      <c r="E812" s="17" t="s">
        <v>14</v>
      </c>
      <c r="F812" s="11" t="s">
        <v>1489</v>
      </c>
      <c r="G812" s="12"/>
      <c r="H812" s="13">
        <v>109</v>
      </c>
      <c r="I812" s="23" t="s">
        <v>18</v>
      </c>
    </row>
    <row r="813" spans="1:9" ht="46.8">
      <c r="A813" s="15">
        <v>586957</v>
      </c>
      <c r="B813" s="8" t="s">
        <v>1560</v>
      </c>
      <c r="C813" s="35" t="s">
        <v>1561</v>
      </c>
      <c r="D813" s="11" t="str">
        <f>HYPERLINK("https://www.fold3.com/title/37/civil-war-soldiers-confederate-nc","Fold3.com")</f>
        <v>Fold3.com</v>
      </c>
      <c r="E813" s="17" t="s">
        <v>14</v>
      </c>
      <c r="F813" s="11" t="s">
        <v>43</v>
      </c>
      <c r="G813" s="12"/>
      <c r="H813" s="13">
        <v>109</v>
      </c>
      <c r="I813" s="23" t="s">
        <v>11</v>
      </c>
    </row>
    <row r="814" spans="1:9" ht="46.8">
      <c r="A814" s="15">
        <v>2824931</v>
      </c>
      <c r="B814" s="8" t="s">
        <v>1562</v>
      </c>
      <c r="C814" s="16" t="s">
        <v>1563</v>
      </c>
      <c r="D814" s="12"/>
      <c r="E814" s="17" t="s">
        <v>14</v>
      </c>
      <c r="F814" s="12"/>
      <c r="G814" s="12"/>
      <c r="H814" s="13">
        <v>36</v>
      </c>
      <c r="I814" s="14" t="s">
        <v>15</v>
      </c>
    </row>
    <row r="815" spans="1:9" ht="31.2">
      <c r="A815" s="41" t="s">
        <v>332</v>
      </c>
      <c r="B815" s="42" t="s">
        <v>1564</v>
      </c>
      <c r="C815" s="43" t="s">
        <v>1565</v>
      </c>
      <c r="D815" s="61" t="s">
        <v>220</v>
      </c>
      <c r="E815" s="44"/>
      <c r="F815" s="44"/>
      <c r="G815" s="44"/>
      <c r="H815" s="46">
        <v>45</v>
      </c>
      <c r="I815" s="47" t="s">
        <v>15</v>
      </c>
    </row>
    <row r="816" spans="1:9" ht="45.6">
      <c r="A816" s="15">
        <v>300398</v>
      </c>
      <c r="B816" s="8" t="s">
        <v>1566</v>
      </c>
      <c r="C816" s="63" t="s">
        <v>1567</v>
      </c>
      <c r="D816" s="17" t="s">
        <v>220</v>
      </c>
      <c r="E816" s="17" t="s">
        <v>14</v>
      </c>
      <c r="F816" s="11" t="s">
        <v>43</v>
      </c>
      <c r="G816" s="12"/>
      <c r="H816" s="13">
        <v>94</v>
      </c>
      <c r="I816" s="23" t="s">
        <v>18</v>
      </c>
    </row>
    <row r="817" spans="1:9" ht="31.2">
      <c r="A817" s="41" t="s">
        <v>332</v>
      </c>
      <c r="B817" s="42" t="s">
        <v>1568</v>
      </c>
      <c r="C817" s="43" t="s">
        <v>1569</v>
      </c>
      <c r="D817" s="44"/>
      <c r="E817" s="62" t="s">
        <v>14</v>
      </c>
      <c r="F817" s="61" t="s">
        <v>43</v>
      </c>
      <c r="G817" s="44"/>
      <c r="H817" s="46">
        <v>36</v>
      </c>
      <c r="I817" s="47" t="s">
        <v>15</v>
      </c>
    </row>
    <row r="818" spans="1:9" ht="46.8">
      <c r="A818" s="64">
        <v>654520</v>
      </c>
      <c r="B818" s="8" t="s">
        <v>1570</v>
      </c>
      <c r="C818" s="49" t="str">
        <f>HYPERLINK("https://catalog.archives.gov/search?q=M278&amp;f.ancestorNaIds=654520","Compiled Service Records of Volunteer Soldiers Who Served During the Mexican War From the State of Texas")</f>
        <v>Compiled Service Records of Volunteer Soldiers Who Served During the Mexican War From the State of Texas</v>
      </c>
      <c r="D818" s="11" t="s">
        <v>220</v>
      </c>
      <c r="E818" s="17" t="s">
        <v>14</v>
      </c>
      <c r="F818" s="11" t="s">
        <v>43</v>
      </c>
      <c r="G818" s="12"/>
      <c r="H818" s="13">
        <v>94</v>
      </c>
      <c r="I818" s="23" t="s">
        <v>11</v>
      </c>
    </row>
    <row r="819" spans="1:9" ht="46.8">
      <c r="A819" s="15">
        <v>586957</v>
      </c>
      <c r="B819" s="8" t="s">
        <v>1571</v>
      </c>
      <c r="C819" s="16" t="s">
        <v>1572</v>
      </c>
      <c r="D819" s="17" t="s">
        <v>220</v>
      </c>
      <c r="E819" s="17" t="s">
        <v>14</v>
      </c>
      <c r="F819" s="11" t="s">
        <v>43</v>
      </c>
      <c r="G819" s="12"/>
      <c r="H819" s="13">
        <v>109</v>
      </c>
      <c r="I819" s="14" t="s">
        <v>15</v>
      </c>
    </row>
    <row r="820" spans="1:9" ht="31.2">
      <c r="A820" s="15">
        <v>563315</v>
      </c>
      <c r="B820" s="8" t="s">
        <v>1573</v>
      </c>
      <c r="C820" s="16" t="s">
        <v>1574</v>
      </c>
      <c r="D820" s="12"/>
      <c r="E820" s="17" t="s">
        <v>14</v>
      </c>
      <c r="F820" s="11" t="s">
        <v>43</v>
      </c>
      <c r="G820" s="12"/>
      <c r="H820" s="13">
        <v>15</v>
      </c>
      <c r="I820" s="14" t="s">
        <v>15</v>
      </c>
    </row>
    <row r="821" spans="1:9" ht="46.8">
      <c r="A821" s="15">
        <v>586957</v>
      </c>
      <c r="B821" s="8" t="s">
        <v>1575</v>
      </c>
      <c r="C821" s="49" t="str">
        <f>HYPERLINK("https://catalog.archives.gov/search?q=M317&amp;f.ancestorNaIds=586957","Compiled Service Records of Confederate Soldiers Who Served in Organizations From the State of Arkansas")</f>
        <v>Compiled Service Records of Confederate Soldiers Who Served in Organizations From the State of Arkansas</v>
      </c>
      <c r="D821" s="11" t="str">
        <f>HYPERLINK("https://www.fold3.com/title/27/civil-war-soldiers-confederate-ar","Fold3.com")</f>
        <v>Fold3.com</v>
      </c>
      <c r="E821" s="17" t="s">
        <v>14</v>
      </c>
      <c r="F821" s="11" t="s">
        <v>43</v>
      </c>
      <c r="G821" s="12"/>
      <c r="H821" s="13">
        <v>109</v>
      </c>
      <c r="I821" s="23" t="s">
        <v>11</v>
      </c>
    </row>
    <row r="822" spans="1:9" ht="46.8">
      <c r="A822" s="15">
        <v>586957</v>
      </c>
      <c r="B822" s="8" t="s">
        <v>1576</v>
      </c>
      <c r="C822" s="16" t="s">
        <v>1577</v>
      </c>
      <c r="D822" s="17" t="s">
        <v>220</v>
      </c>
      <c r="E822" s="17" t="s">
        <v>14</v>
      </c>
      <c r="F822" s="11" t="s">
        <v>43</v>
      </c>
      <c r="G822" s="12"/>
      <c r="H822" s="13">
        <v>109</v>
      </c>
      <c r="I822" s="14" t="s">
        <v>15</v>
      </c>
    </row>
    <row r="823" spans="1:9" ht="46.8">
      <c r="A823" s="15">
        <v>586957</v>
      </c>
      <c r="B823" s="8" t="s">
        <v>1578</v>
      </c>
      <c r="C823" s="49" t="str">
        <f>HYPERLINK("https://catalog.archives.gov/search?q=M319&amp;f.ancestorNaIds=586957","Compiled Service Records of Confederate Soldiers Who Served in Organizations From the State of Kentucky")</f>
        <v>Compiled Service Records of Confederate Soldiers Who Served in Organizations From the State of Kentucky</v>
      </c>
      <c r="D823" s="11" t="s">
        <v>220</v>
      </c>
      <c r="E823" s="17" t="s">
        <v>14</v>
      </c>
      <c r="F823" s="11" t="s">
        <v>43</v>
      </c>
      <c r="G823" s="12"/>
      <c r="H823" s="13">
        <v>109</v>
      </c>
      <c r="I823" s="23" t="s">
        <v>18</v>
      </c>
    </row>
    <row r="824" spans="1:9" ht="46.8">
      <c r="A824" s="15">
        <v>586957</v>
      </c>
      <c r="B824" s="8" t="s">
        <v>1579</v>
      </c>
      <c r="C824" s="49" t="str">
        <f>HYPERLINK("https://catalog.archives.gov/search?q=M320&amp;f.ancestorNaIds=586957","Compiled Service Records of Confederate Soldiers Who Served in Organizations From the State of Louisiana")</f>
        <v>Compiled Service Records of Confederate Soldiers Who Served in Organizations From the State of Louisiana</v>
      </c>
      <c r="D824" s="17" t="s">
        <v>220</v>
      </c>
      <c r="E824" s="17" t="s">
        <v>14</v>
      </c>
      <c r="F824" s="11" t="s">
        <v>43</v>
      </c>
      <c r="G824" s="12"/>
      <c r="H824" s="13">
        <v>109</v>
      </c>
      <c r="I824" s="23" t="s">
        <v>11</v>
      </c>
    </row>
    <row r="825" spans="1:9" ht="46.8">
      <c r="A825" s="15">
        <v>586957</v>
      </c>
      <c r="B825" s="8" t="s">
        <v>1580</v>
      </c>
      <c r="C825" s="49" t="str">
        <f>HYPERLINK("https://catalog.archives.gov/search?q=M321&amp;f.ancestorNaIds=586957","Compiled Service Records of Confederate Soldiers Who Served in Organizations From the State of Maryland (Index only)")</f>
        <v>Compiled Service Records of Confederate Soldiers Who Served in Organizations From the State of Maryland (Index only)</v>
      </c>
      <c r="D825" s="17" t="s">
        <v>220</v>
      </c>
      <c r="E825" s="17" t="s">
        <v>14</v>
      </c>
      <c r="F825" s="11" t="s">
        <v>1489</v>
      </c>
      <c r="G825" s="12"/>
      <c r="H825" s="13">
        <v>109</v>
      </c>
      <c r="I825" s="23" t="s">
        <v>18</v>
      </c>
    </row>
    <row r="826" spans="1:9" ht="46.8">
      <c r="A826" s="15">
        <v>586957</v>
      </c>
      <c r="B826" s="8" t="s">
        <v>1581</v>
      </c>
      <c r="C826" s="35" t="s">
        <v>1582</v>
      </c>
      <c r="D826" s="17" t="s">
        <v>220</v>
      </c>
      <c r="E826" s="17" t="s">
        <v>14</v>
      </c>
      <c r="F826" s="11" t="s">
        <v>1489</v>
      </c>
      <c r="G826" s="12"/>
      <c r="H826" s="13">
        <v>109</v>
      </c>
      <c r="I826" s="23" t="s">
        <v>18</v>
      </c>
    </row>
    <row r="827" spans="1:9" ht="46.8">
      <c r="A827" s="15">
        <v>586957</v>
      </c>
      <c r="B827" s="8" t="s">
        <v>1583</v>
      </c>
      <c r="C827" s="16" t="s">
        <v>1584</v>
      </c>
      <c r="D827" s="17" t="s">
        <v>220</v>
      </c>
      <c r="E827" s="17" t="s">
        <v>14</v>
      </c>
      <c r="F827" s="11" t="s">
        <v>43</v>
      </c>
      <c r="G827" s="12"/>
      <c r="H827" s="13">
        <v>109</v>
      </c>
      <c r="I827" s="14" t="s">
        <v>15</v>
      </c>
    </row>
    <row r="828" spans="1:9" ht="46.8">
      <c r="A828" s="15">
        <v>586957</v>
      </c>
      <c r="B828" s="8" t="s">
        <v>1585</v>
      </c>
      <c r="C828" s="49" t="s">
        <v>1586</v>
      </c>
      <c r="D828" s="17" t="s">
        <v>220</v>
      </c>
      <c r="E828" s="17" t="s">
        <v>14</v>
      </c>
      <c r="F828" s="11" t="s">
        <v>43</v>
      </c>
      <c r="G828" s="12"/>
      <c r="H828" s="13">
        <v>109</v>
      </c>
      <c r="I828" s="23" t="s">
        <v>11</v>
      </c>
    </row>
    <row r="829" spans="1:9" ht="46.8">
      <c r="A829" s="15">
        <v>586957</v>
      </c>
      <c r="B829" s="8" t="s">
        <v>1587</v>
      </c>
      <c r="C829" s="35" t="s">
        <v>1588</v>
      </c>
      <c r="D829" s="17" t="s">
        <v>220</v>
      </c>
      <c r="E829" s="17" t="s">
        <v>14</v>
      </c>
      <c r="F829" s="11" t="s">
        <v>43</v>
      </c>
      <c r="G829" s="12"/>
      <c r="H829" s="13">
        <v>109</v>
      </c>
      <c r="I829" s="23" t="s">
        <v>11</v>
      </c>
    </row>
    <row r="830" spans="1:9" ht="31.2">
      <c r="A830" s="15">
        <v>301686</v>
      </c>
      <c r="B830" s="8" t="s">
        <v>1589</v>
      </c>
      <c r="C830" s="16" t="s">
        <v>1590</v>
      </c>
      <c r="D830" s="17" t="s">
        <v>220</v>
      </c>
      <c r="E830" s="12"/>
      <c r="F830" s="12"/>
      <c r="G830" s="12"/>
      <c r="H830" s="13">
        <v>360</v>
      </c>
      <c r="I830" s="14" t="s">
        <v>15</v>
      </c>
    </row>
    <row r="831" spans="1:9" ht="46.8">
      <c r="A831" s="7">
        <v>3785972</v>
      </c>
      <c r="B831" s="8" t="s">
        <v>1591</v>
      </c>
      <c r="C831" s="16" t="s">
        <v>1592</v>
      </c>
      <c r="D831" s="12"/>
      <c r="E831" s="12"/>
      <c r="F831" s="11" t="s">
        <v>43</v>
      </c>
      <c r="G831" s="12"/>
      <c r="H831" s="13">
        <v>36</v>
      </c>
      <c r="I831" s="14" t="s">
        <v>15</v>
      </c>
    </row>
    <row r="832" spans="1:9" ht="31.2">
      <c r="A832" s="15">
        <v>2133278</v>
      </c>
      <c r="B832" s="8" t="s">
        <v>1593</v>
      </c>
      <c r="C832" s="49" t="str">
        <f>HYPERLINK("https://catalog.archives.gov/search?q=M345&amp;f.ancestorNaIds=2133278&amp;f.oldScope=online","Union Provost Marshal's File of Papers Relating to Individual Civilians")</f>
        <v>Union Provost Marshal's File of Papers Relating to Individual Civilians</v>
      </c>
      <c r="D832" s="11" t="s">
        <v>220</v>
      </c>
      <c r="E832" s="17" t="s">
        <v>14</v>
      </c>
      <c r="F832" s="11" t="s">
        <v>43</v>
      </c>
      <c r="G832" s="12"/>
      <c r="H832" s="13">
        <v>109</v>
      </c>
      <c r="I832" s="23" t="s">
        <v>18</v>
      </c>
    </row>
    <row r="833" spans="1:9" ht="31.2">
      <c r="A833" s="15">
        <v>2133274</v>
      </c>
      <c r="B833" s="8" t="s">
        <v>1594</v>
      </c>
      <c r="C833" s="16" t="s">
        <v>1595</v>
      </c>
      <c r="D833" s="17" t="s">
        <v>220</v>
      </c>
      <c r="E833" s="12"/>
      <c r="F833" s="11" t="s">
        <v>43</v>
      </c>
      <c r="G833" s="12"/>
      <c r="H833" s="13">
        <v>109</v>
      </c>
      <c r="I833" s="14" t="s">
        <v>15</v>
      </c>
    </row>
    <row r="834" spans="1:9" ht="31.2">
      <c r="A834" s="15">
        <v>2133276</v>
      </c>
      <c r="B834" s="8" t="s">
        <v>1596</v>
      </c>
      <c r="C834" s="35" t="s">
        <v>1597</v>
      </c>
      <c r="D834" s="11" t="s">
        <v>220</v>
      </c>
      <c r="E834" s="12"/>
      <c r="F834" s="11" t="str">
        <f>HYPERLINK("https://www.familysearch.org/search/catalog/41408?availability=Family%20History%20Library","FamilySearch.org")</f>
        <v>FamilySearch.org</v>
      </c>
      <c r="G834" s="12"/>
      <c r="H834" s="13">
        <v>109</v>
      </c>
      <c r="I834" s="14" t="s">
        <v>11</v>
      </c>
    </row>
    <row r="835" spans="1:9" ht="31.2">
      <c r="A835" s="15">
        <v>2791166</v>
      </c>
      <c r="B835" s="8" t="s">
        <v>1598</v>
      </c>
      <c r="C835" s="16" t="s">
        <v>1599</v>
      </c>
      <c r="D835" s="12"/>
      <c r="E835" s="17" t="s">
        <v>14</v>
      </c>
      <c r="F835" s="12"/>
      <c r="G835" s="12"/>
      <c r="H835" s="13">
        <v>29</v>
      </c>
      <c r="I835" s="14" t="s">
        <v>15</v>
      </c>
    </row>
    <row r="836" spans="1:9" ht="31.2">
      <c r="A836" s="15">
        <v>564980</v>
      </c>
      <c r="B836" s="8" t="s">
        <v>1600</v>
      </c>
      <c r="C836" s="16" t="s">
        <v>1601</v>
      </c>
      <c r="D836" s="12"/>
      <c r="E836" s="12"/>
      <c r="F836" s="11" t="s">
        <v>43</v>
      </c>
      <c r="G836" s="12"/>
      <c r="H836" s="13">
        <v>36</v>
      </c>
      <c r="I836" s="14" t="s">
        <v>15</v>
      </c>
    </row>
    <row r="837" spans="1:9" ht="31.2">
      <c r="A837" s="15">
        <v>302021</v>
      </c>
      <c r="B837" s="8" t="s">
        <v>1602</v>
      </c>
      <c r="C837" s="35" t="s">
        <v>1603</v>
      </c>
      <c r="D837" s="17" t="s">
        <v>220</v>
      </c>
      <c r="E837" s="12"/>
      <c r="F837" s="12"/>
      <c r="G837" s="12"/>
      <c r="H837" s="13">
        <v>59</v>
      </c>
      <c r="I837" s="14" t="s">
        <v>18</v>
      </c>
    </row>
    <row r="838" spans="1:9" ht="31.2">
      <c r="A838" s="15">
        <v>5121373</v>
      </c>
      <c r="B838" s="8" t="s">
        <v>1604</v>
      </c>
      <c r="C838" s="35" t="s">
        <v>1605</v>
      </c>
      <c r="D838" s="12"/>
      <c r="E838" s="17" t="s">
        <v>14</v>
      </c>
      <c r="F838" s="12"/>
      <c r="G838" s="12"/>
      <c r="H838" s="13">
        <v>58</v>
      </c>
      <c r="I838" s="23" t="s">
        <v>11</v>
      </c>
    </row>
    <row r="839" spans="1:9" ht="46.8">
      <c r="A839" s="15">
        <v>595144</v>
      </c>
      <c r="B839" s="8" t="s">
        <v>1606</v>
      </c>
      <c r="C839" s="16" t="s">
        <v>1607</v>
      </c>
      <c r="D839" s="11" t="s">
        <v>220</v>
      </c>
      <c r="E839" s="12"/>
      <c r="F839" s="12"/>
      <c r="G839" s="12"/>
      <c r="H839" s="13">
        <v>94</v>
      </c>
      <c r="I839" s="14" t="s">
        <v>15</v>
      </c>
    </row>
    <row r="840" spans="1:9" ht="46.8">
      <c r="A840" s="15">
        <v>595144</v>
      </c>
      <c r="B840" s="8" t="s">
        <v>1608</v>
      </c>
      <c r="C840" s="35" t="s">
        <v>1609</v>
      </c>
      <c r="D840" s="11" t="s">
        <v>220</v>
      </c>
      <c r="E840" s="12"/>
      <c r="F840" s="12"/>
      <c r="G840" s="12"/>
      <c r="H840" s="13">
        <v>109</v>
      </c>
      <c r="I840" s="23" t="s">
        <v>11</v>
      </c>
    </row>
    <row r="841" spans="1:9" ht="46.8">
      <c r="A841" s="15">
        <v>300398</v>
      </c>
      <c r="B841" s="8" t="s">
        <v>1610</v>
      </c>
      <c r="C841" s="34" t="s">
        <v>1611</v>
      </c>
      <c r="D841" s="17" t="s">
        <v>220</v>
      </c>
      <c r="E841" s="17" t="s">
        <v>14</v>
      </c>
      <c r="F841" s="11" t="s">
        <v>1489</v>
      </c>
      <c r="G841" s="12"/>
      <c r="H841" s="13">
        <v>94</v>
      </c>
      <c r="I841" s="23" t="s">
        <v>11</v>
      </c>
    </row>
    <row r="842" spans="1:9" ht="46.8">
      <c r="A842" s="15">
        <v>654530</v>
      </c>
      <c r="B842" s="8" t="s">
        <v>1612</v>
      </c>
      <c r="C842" s="9" t="s">
        <v>1613</v>
      </c>
      <c r="D842" s="11" t="s">
        <v>220</v>
      </c>
      <c r="E842" s="12"/>
      <c r="F842" s="12"/>
      <c r="G842" s="12"/>
      <c r="H842" s="13">
        <v>94</v>
      </c>
      <c r="I842" s="23" t="s">
        <v>11</v>
      </c>
    </row>
    <row r="843" spans="1:9" ht="46.8">
      <c r="A843" s="15">
        <v>300398</v>
      </c>
      <c r="B843" s="8" t="s">
        <v>1614</v>
      </c>
      <c r="C843" s="9" t="s">
        <v>1615</v>
      </c>
      <c r="D843" s="11" t="s">
        <v>220</v>
      </c>
      <c r="E843" s="17" t="s">
        <v>14</v>
      </c>
      <c r="F843" s="11" t="s">
        <v>43</v>
      </c>
      <c r="G843" s="12"/>
      <c r="H843" s="13">
        <v>94</v>
      </c>
      <c r="I843" s="23" t="s">
        <v>11</v>
      </c>
    </row>
    <row r="844" spans="1:9" ht="46.8">
      <c r="A844" s="15">
        <v>300398</v>
      </c>
      <c r="B844" s="8" t="s">
        <v>1616</v>
      </c>
      <c r="C844" s="9" t="s">
        <v>1617</v>
      </c>
      <c r="D844" s="11" t="s">
        <v>220</v>
      </c>
      <c r="E844" s="17" t="s">
        <v>14</v>
      </c>
      <c r="F844" s="11" t="s">
        <v>43</v>
      </c>
      <c r="G844" s="12"/>
      <c r="H844" s="13">
        <v>94</v>
      </c>
      <c r="I844" s="23" t="s">
        <v>11</v>
      </c>
    </row>
    <row r="845" spans="1:9" ht="46.8">
      <c r="A845" s="15">
        <v>300398</v>
      </c>
      <c r="B845" s="8" t="s">
        <v>1618</v>
      </c>
      <c r="C845" s="9" t="s">
        <v>1619</v>
      </c>
      <c r="D845" s="11" t="str">
        <f>HYPERLINK("https://www.fold3.com/title/50/civil-war-soldiers-union-ky","Fold3.com")</f>
        <v>Fold3.com</v>
      </c>
      <c r="E845" s="17" t="s">
        <v>14</v>
      </c>
      <c r="F845" s="11" t="s">
        <v>43</v>
      </c>
      <c r="G845" s="12"/>
      <c r="H845" s="13">
        <v>94</v>
      </c>
      <c r="I845" s="23" t="s">
        <v>11</v>
      </c>
    </row>
    <row r="846" spans="1:9" ht="46.8">
      <c r="A846" s="15">
        <v>300398</v>
      </c>
      <c r="B846" s="8" t="s">
        <v>1620</v>
      </c>
      <c r="C846" s="9" t="s">
        <v>1621</v>
      </c>
      <c r="D846" s="11" t="s">
        <v>220</v>
      </c>
      <c r="E846" s="17" t="s">
        <v>14</v>
      </c>
      <c r="F846" s="11" t="s">
        <v>43</v>
      </c>
      <c r="G846" s="12"/>
      <c r="H846" s="13">
        <v>94</v>
      </c>
      <c r="I846" s="23" t="s">
        <v>11</v>
      </c>
    </row>
    <row r="847" spans="1:9" ht="46.8">
      <c r="A847" s="15">
        <v>300398</v>
      </c>
      <c r="B847" s="8" t="s">
        <v>1622</v>
      </c>
      <c r="C847" s="9" t="s">
        <v>1623</v>
      </c>
      <c r="D847" s="17" t="s">
        <v>220</v>
      </c>
      <c r="E847" s="17" t="s">
        <v>14</v>
      </c>
      <c r="F847" s="11" t="s">
        <v>43</v>
      </c>
      <c r="G847" s="12"/>
      <c r="H847" s="13">
        <v>94</v>
      </c>
      <c r="I847" s="23" t="s">
        <v>11</v>
      </c>
    </row>
    <row r="848" spans="1:9" ht="46.8">
      <c r="A848" s="15">
        <v>300398</v>
      </c>
      <c r="B848" s="8" t="s">
        <v>1624</v>
      </c>
      <c r="C848" s="9" t="s">
        <v>1625</v>
      </c>
      <c r="D848" s="11" t="s">
        <v>220</v>
      </c>
      <c r="E848" s="17" t="s">
        <v>14</v>
      </c>
      <c r="F848" s="11" t="s">
        <v>43</v>
      </c>
      <c r="G848" s="12"/>
      <c r="H848" s="13">
        <v>94</v>
      </c>
      <c r="I848" s="23" t="s">
        <v>11</v>
      </c>
    </row>
    <row r="849" spans="1:9" ht="46.8">
      <c r="A849" s="15">
        <v>300398</v>
      </c>
      <c r="B849" s="8" t="s">
        <v>1626</v>
      </c>
      <c r="C849" s="9" t="s">
        <v>1627</v>
      </c>
      <c r="D849" s="11" t="s">
        <v>220</v>
      </c>
      <c r="E849" s="17" t="s">
        <v>14</v>
      </c>
      <c r="F849" s="11" t="s">
        <v>43</v>
      </c>
      <c r="G849" s="12"/>
      <c r="H849" s="13">
        <v>94</v>
      </c>
      <c r="I849" s="23" t="s">
        <v>11</v>
      </c>
    </row>
    <row r="850" spans="1:9" ht="46.8">
      <c r="A850" s="15">
        <v>300398</v>
      </c>
      <c r="B850" s="8" t="s">
        <v>1628</v>
      </c>
      <c r="C850" s="9" t="s">
        <v>1629</v>
      </c>
      <c r="D850" s="11" t="s">
        <v>220</v>
      </c>
      <c r="E850" s="17" t="s">
        <v>14</v>
      </c>
      <c r="F850" s="11" t="s">
        <v>43</v>
      </c>
      <c r="G850" s="12"/>
      <c r="H850" s="13">
        <v>94</v>
      </c>
      <c r="I850" s="23" t="s">
        <v>11</v>
      </c>
    </row>
    <row r="851" spans="1:9" ht="46.8">
      <c r="A851" s="15">
        <v>300398</v>
      </c>
      <c r="B851" s="8" t="s">
        <v>1630</v>
      </c>
      <c r="C851" s="9" t="s">
        <v>1631</v>
      </c>
      <c r="D851" s="11" t="str">
        <f>HYPERLINK("https://www.fold3.com/title/49/civil-war-soldiers-union-ga","Fold3.com")</f>
        <v>Fold3.com</v>
      </c>
      <c r="E851" s="17" t="s">
        <v>14</v>
      </c>
      <c r="F851" s="11" t="s">
        <v>43</v>
      </c>
      <c r="G851" s="12"/>
      <c r="H851" s="13">
        <v>94</v>
      </c>
      <c r="I851" s="23" t="s">
        <v>11</v>
      </c>
    </row>
    <row r="852" spans="1:9" ht="46.8">
      <c r="A852" s="15">
        <v>300398</v>
      </c>
      <c r="B852" s="8" t="s">
        <v>1632</v>
      </c>
      <c r="C852" s="9" t="s">
        <v>1633</v>
      </c>
      <c r="D852" s="17" t="s">
        <v>220</v>
      </c>
      <c r="E852" s="17" t="s">
        <v>14</v>
      </c>
      <c r="F852" s="11" t="s">
        <v>1489</v>
      </c>
      <c r="G852" s="12"/>
      <c r="H852" s="13">
        <v>94</v>
      </c>
      <c r="I852" s="23" t="s">
        <v>11</v>
      </c>
    </row>
    <row r="853" spans="1:9" ht="46.8">
      <c r="A853" s="15">
        <v>300398</v>
      </c>
      <c r="B853" s="8" t="s">
        <v>1634</v>
      </c>
      <c r="C853" s="9" t="s">
        <v>1635</v>
      </c>
      <c r="D853" s="11" t="str">
        <f>HYPERLINK("https://www.fold3.com/title/51/civil-war-soldiers-union-mo","Fold3.com")</f>
        <v>Fold3.com</v>
      </c>
      <c r="E853" s="17" t="s">
        <v>14</v>
      </c>
      <c r="F853" s="11" t="s">
        <v>1489</v>
      </c>
      <c r="G853" s="12"/>
      <c r="H853" s="13">
        <v>94</v>
      </c>
      <c r="I853" s="23" t="s">
        <v>11</v>
      </c>
    </row>
    <row r="854" spans="1:9" ht="31.2">
      <c r="A854" s="15">
        <v>2353580</v>
      </c>
      <c r="B854" s="8" t="s">
        <v>1636</v>
      </c>
      <c r="C854" s="16" t="s">
        <v>1637</v>
      </c>
      <c r="D854" s="12"/>
      <c r="E854" s="17" t="s">
        <v>14</v>
      </c>
      <c r="F854" s="11" t="s">
        <v>43</v>
      </c>
      <c r="G854" s="12"/>
      <c r="H854" s="13">
        <v>29</v>
      </c>
      <c r="I854" s="14" t="s">
        <v>15</v>
      </c>
    </row>
    <row r="855" spans="1:9" ht="31.2">
      <c r="A855" s="15">
        <v>2133278</v>
      </c>
      <c r="B855" s="8" t="s">
        <v>1638</v>
      </c>
      <c r="C855" s="16" t="s">
        <v>1639</v>
      </c>
      <c r="D855" s="12"/>
      <c r="E855" s="12"/>
      <c r="F855" s="11" t="s">
        <v>43</v>
      </c>
      <c r="G855" s="12"/>
      <c r="H855" s="13">
        <v>109</v>
      </c>
      <c r="I855" s="14" t="s">
        <v>15</v>
      </c>
    </row>
    <row r="856" spans="1:9" ht="31.2">
      <c r="A856" s="41" t="s">
        <v>332</v>
      </c>
      <c r="B856" s="42" t="s">
        <v>1640</v>
      </c>
      <c r="C856" s="43" t="s">
        <v>1641</v>
      </c>
      <c r="D856" s="44"/>
      <c r="E856" s="62" t="s">
        <v>14</v>
      </c>
      <c r="F856" s="61" t="s">
        <v>43</v>
      </c>
      <c r="G856" s="44"/>
      <c r="H856" s="46">
        <v>36</v>
      </c>
      <c r="I856" s="47" t="s">
        <v>15</v>
      </c>
    </row>
    <row r="857" spans="1:9" ht="46.8">
      <c r="A857" s="15">
        <v>300398</v>
      </c>
      <c r="B857" s="8" t="s">
        <v>1642</v>
      </c>
      <c r="C857" s="9" t="s">
        <v>1643</v>
      </c>
      <c r="D857" s="11" t="s">
        <v>220</v>
      </c>
      <c r="E857" s="17" t="s">
        <v>14</v>
      </c>
      <c r="F857" s="11" t="s">
        <v>43</v>
      </c>
      <c r="G857" s="12"/>
      <c r="H857" s="13">
        <v>94</v>
      </c>
      <c r="I857" s="23" t="s">
        <v>11</v>
      </c>
    </row>
    <row r="858" spans="1:9" ht="46.8">
      <c r="A858" s="15">
        <v>598246</v>
      </c>
      <c r="B858" s="8" t="s">
        <v>1644</v>
      </c>
      <c r="C858" s="16" t="s">
        <v>1645</v>
      </c>
      <c r="D858" s="12"/>
      <c r="E858" s="17" t="s">
        <v>14</v>
      </c>
      <c r="F858" s="11" t="s">
        <v>43</v>
      </c>
      <c r="G858" s="11" t="s">
        <v>1646</v>
      </c>
      <c r="H858" s="13">
        <v>29</v>
      </c>
      <c r="I858" s="14" t="s">
        <v>15</v>
      </c>
    </row>
    <row r="859" spans="1:9" ht="46.8">
      <c r="A859" s="15" t="s">
        <v>1647</v>
      </c>
      <c r="B859" s="8" t="s">
        <v>1648</v>
      </c>
      <c r="C859" s="49" t="str">
        <f>HYPERLINK("https://catalog.archives.gov/search?q=M433&amp;f.level=fileunit&amp;f.oldScope=online&amp;f.recordGroupNoCollectionId=21","Records of the U.S. District Court for the District of Columbia Relating to Slaves")</f>
        <v>Records of the U.S. District Court for the District of Columbia Relating to Slaves</v>
      </c>
      <c r="D859" s="11" t="s">
        <v>220</v>
      </c>
      <c r="E859" s="17" t="s">
        <v>14</v>
      </c>
      <c r="F859" s="11" t="str">
        <f t="shared" ref="F859:F860" si="37">HYPERLINK("https://www.familysearch.org/search/collection/2515818","FamilySearch.org")</f>
        <v>FamilySearch.org</v>
      </c>
      <c r="G859" s="12"/>
      <c r="H859" s="13">
        <v>21</v>
      </c>
      <c r="I859" s="23" t="s">
        <v>11</v>
      </c>
    </row>
    <row r="860" spans="1:9" ht="46.8">
      <c r="A860" s="15">
        <v>6277088</v>
      </c>
      <c r="B860" s="8" t="s">
        <v>1649</v>
      </c>
      <c r="C860" s="34" t="s">
        <v>1650</v>
      </c>
      <c r="D860" s="12"/>
      <c r="E860" s="17" t="s">
        <v>14</v>
      </c>
      <c r="F860" s="11" t="str">
        <f t="shared" si="37"/>
        <v>FamilySearch.org</v>
      </c>
      <c r="G860" s="12"/>
      <c r="H860" s="13">
        <v>21</v>
      </c>
      <c r="I860" s="23" t="s">
        <v>11</v>
      </c>
    </row>
    <row r="861" spans="1:9" ht="45.6">
      <c r="A861" s="15">
        <v>300398</v>
      </c>
      <c r="B861" s="8" t="s">
        <v>1651</v>
      </c>
      <c r="C861" s="63" t="s">
        <v>1652</v>
      </c>
      <c r="D861" s="11" t="s">
        <v>220</v>
      </c>
      <c r="E861" s="17" t="s">
        <v>14</v>
      </c>
      <c r="F861" s="11" t="s">
        <v>43</v>
      </c>
      <c r="G861" s="12"/>
      <c r="H861" s="13">
        <v>94</v>
      </c>
      <c r="I861" s="23" t="s">
        <v>18</v>
      </c>
    </row>
    <row r="862" spans="1:9" ht="46.8">
      <c r="A862" s="15">
        <v>302045</v>
      </c>
      <c r="B862" s="8" t="s">
        <v>1653</v>
      </c>
      <c r="C862" s="35" t="s">
        <v>1654</v>
      </c>
      <c r="D862" s="11" t="str">
        <f>HYPERLINK("https://www.fold3.com/title/14/board-of-commissioners-emancipation-of-slaves-in-dc","Fold3.com")</f>
        <v>Fold3.com</v>
      </c>
      <c r="E862" s="17" t="s">
        <v>14</v>
      </c>
      <c r="F862" s="11" t="str">
        <f>HYPERLINK("https://www.familysearch.org/search/collection/2515818","FamilySearch.org")</f>
        <v>FamilySearch.org</v>
      </c>
      <c r="G862" s="12"/>
      <c r="H862" s="13">
        <v>217</v>
      </c>
      <c r="I862" s="23" t="s">
        <v>11</v>
      </c>
    </row>
    <row r="863" spans="1:9" ht="46.8">
      <c r="A863" s="15">
        <v>654530</v>
      </c>
      <c r="B863" s="8" t="s">
        <v>1655</v>
      </c>
      <c r="C863" s="16" t="s">
        <v>1656</v>
      </c>
      <c r="D863" s="11" t="s">
        <v>220</v>
      </c>
      <c r="E863" s="12"/>
      <c r="F863" s="12"/>
      <c r="G863" s="12"/>
      <c r="H863" s="13">
        <v>94</v>
      </c>
      <c r="I863" s="14" t="s">
        <v>15</v>
      </c>
    </row>
    <row r="864" spans="1:9" ht="46.8">
      <c r="A864" s="15">
        <v>654530</v>
      </c>
      <c r="B864" s="8" t="s">
        <v>1657</v>
      </c>
      <c r="C864" s="9" t="s">
        <v>1658</v>
      </c>
      <c r="D864" s="11" t="s">
        <v>220</v>
      </c>
      <c r="E864" s="12"/>
      <c r="F864" s="12"/>
      <c r="G864" s="12"/>
      <c r="H864" s="13">
        <v>94</v>
      </c>
      <c r="I864" s="23" t="s">
        <v>11</v>
      </c>
    </row>
    <row r="865" spans="1:9" ht="46.8">
      <c r="A865" s="15">
        <v>654530</v>
      </c>
      <c r="B865" s="8" t="s">
        <v>1659</v>
      </c>
      <c r="C865" s="16" t="s">
        <v>1660</v>
      </c>
      <c r="D865" s="11" t="s">
        <v>220</v>
      </c>
      <c r="E865" s="12"/>
      <c r="F865" s="12"/>
      <c r="G865" s="12"/>
      <c r="H865" s="13">
        <v>94</v>
      </c>
      <c r="I865" s="14" t="s">
        <v>15</v>
      </c>
    </row>
    <row r="866" spans="1:9" ht="46.8">
      <c r="A866" s="15">
        <v>654530</v>
      </c>
      <c r="B866" s="8" t="s">
        <v>1661</v>
      </c>
      <c r="C866" s="9" t="s">
        <v>1662</v>
      </c>
      <c r="D866" s="11" t="s">
        <v>220</v>
      </c>
      <c r="E866" s="12"/>
      <c r="F866" s="12"/>
      <c r="G866" s="12"/>
      <c r="H866" s="13">
        <v>94</v>
      </c>
      <c r="I866" s="23" t="s">
        <v>11</v>
      </c>
    </row>
    <row r="867" spans="1:9" ht="46.8">
      <c r="A867" s="15">
        <v>654530</v>
      </c>
      <c r="B867" s="8" t="s">
        <v>1663</v>
      </c>
      <c r="C867" s="9" t="s">
        <v>1664</v>
      </c>
      <c r="D867" s="11" t="s">
        <v>220</v>
      </c>
      <c r="E867" s="12"/>
      <c r="F867" s="12"/>
      <c r="G867" s="12"/>
      <c r="H867" s="13">
        <v>94</v>
      </c>
      <c r="I867" s="23" t="s">
        <v>18</v>
      </c>
    </row>
    <row r="868" spans="1:9" ht="46.8">
      <c r="A868" s="15">
        <v>654530</v>
      </c>
      <c r="B868" s="8" t="s">
        <v>1665</v>
      </c>
      <c r="C868" s="9" t="s">
        <v>1666</v>
      </c>
      <c r="D868" s="11" t="s">
        <v>220</v>
      </c>
      <c r="E868" s="12"/>
      <c r="F868" s="12"/>
      <c r="G868" s="12"/>
      <c r="H868" s="13">
        <v>94</v>
      </c>
      <c r="I868" s="23" t="s">
        <v>18</v>
      </c>
    </row>
    <row r="869" spans="1:9" ht="46.8">
      <c r="A869" s="15">
        <v>654530</v>
      </c>
      <c r="B869" s="8" t="s">
        <v>1667</v>
      </c>
      <c r="C869" s="9" t="s">
        <v>1668</v>
      </c>
      <c r="D869" s="11" t="s">
        <v>220</v>
      </c>
      <c r="E869" s="12"/>
      <c r="F869" s="12"/>
      <c r="G869" s="12"/>
      <c r="H869" s="13">
        <v>94</v>
      </c>
      <c r="I869" s="23" t="s">
        <v>11</v>
      </c>
    </row>
    <row r="870" spans="1:9" ht="46.8">
      <c r="A870" s="15">
        <v>654530</v>
      </c>
      <c r="B870" s="8" t="s">
        <v>1669</v>
      </c>
      <c r="C870" s="9" t="s">
        <v>1670</v>
      </c>
      <c r="D870" s="11" t="s">
        <v>220</v>
      </c>
      <c r="E870" s="12"/>
      <c r="F870" s="12"/>
      <c r="G870" s="12"/>
      <c r="H870" s="13">
        <v>94</v>
      </c>
      <c r="I870" s="23" t="s">
        <v>11</v>
      </c>
    </row>
    <row r="871" spans="1:9" ht="46.8">
      <c r="A871" s="15">
        <v>654530</v>
      </c>
      <c r="B871" s="8" t="s">
        <v>1671</v>
      </c>
      <c r="C871" s="9" t="s">
        <v>1672</v>
      </c>
      <c r="D871" s="11" t="s">
        <v>220</v>
      </c>
      <c r="E871" s="12"/>
      <c r="F871" s="12"/>
      <c r="G871" s="12"/>
      <c r="H871" s="13">
        <v>94</v>
      </c>
      <c r="I871" s="23" t="s">
        <v>11</v>
      </c>
    </row>
    <row r="872" spans="1:9" ht="46.8">
      <c r="A872" s="15">
        <v>654530</v>
      </c>
      <c r="B872" s="8" t="s">
        <v>1673</v>
      </c>
      <c r="C872" s="9" t="s">
        <v>1674</v>
      </c>
      <c r="D872" s="11" t="s">
        <v>220</v>
      </c>
      <c r="E872" s="12"/>
      <c r="F872" s="12"/>
      <c r="G872" s="12"/>
      <c r="H872" s="13">
        <v>94</v>
      </c>
      <c r="I872" s="23" t="s">
        <v>11</v>
      </c>
    </row>
    <row r="873" spans="1:9" ht="46.8">
      <c r="A873" s="15">
        <v>654530</v>
      </c>
      <c r="B873" s="8" t="s">
        <v>1675</v>
      </c>
      <c r="C873" s="9" t="s">
        <v>1676</v>
      </c>
      <c r="D873" s="11" t="s">
        <v>220</v>
      </c>
      <c r="E873" s="12"/>
      <c r="F873" s="12"/>
      <c r="G873" s="12"/>
      <c r="H873" s="13">
        <v>94</v>
      </c>
      <c r="I873" s="23" t="s">
        <v>11</v>
      </c>
    </row>
    <row r="874" spans="1:9" ht="46.8">
      <c r="A874" s="15">
        <v>654530</v>
      </c>
      <c r="B874" s="8" t="s">
        <v>1677</v>
      </c>
      <c r="C874" s="9" t="s">
        <v>1678</v>
      </c>
      <c r="D874" s="11" t="s">
        <v>220</v>
      </c>
      <c r="E874" s="12"/>
      <c r="F874" s="12"/>
      <c r="G874" s="12"/>
      <c r="H874" s="13">
        <v>94</v>
      </c>
      <c r="I874" s="23" t="s">
        <v>11</v>
      </c>
    </row>
    <row r="875" spans="1:9" ht="62.4">
      <c r="A875" s="15">
        <v>654530</v>
      </c>
      <c r="B875" s="8" t="s">
        <v>1679</v>
      </c>
      <c r="C875" s="9" t="s">
        <v>1680</v>
      </c>
      <c r="D875" s="11" t="s">
        <v>220</v>
      </c>
      <c r="E875" s="12"/>
      <c r="F875" s="12"/>
      <c r="G875" s="12"/>
      <c r="H875" s="13">
        <v>94</v>
      </c>
      <c r="I875" s="23" t="s">
        <v>11</v>
      </c>
    </row>
    <row r="876" spans="1:9" ht="46.8">
      <c r="A876" s="15">
        <v>654530</v>
      </c>
      <c r="B876" s="8" t="s">
        <v>1681</v>
      </c>
      <c r="C876" s="9" t="s">
        <v>1682</v>
      </c>
      <c r="D876" s="11" t="s">
        <v>220</v>
      </c>
      <c r="E876" s="12"/>
      <c r="F876" s="12"/>
      <c r="G876" s="12"/>
      <c r="H876" s="13">
        <v>94</v>
      </c>
      <c r="I876" s="23" t="s">
        <v>11</v>
      </c>
    </row>
    <row r="877" spans="1:9" ht="46.8">
      <c r="A877" s="15">
        <v>654530</v>
      </c>
      <c r="B877" s="8" t="s">
        <v>1683</v>
      </c>
      <c r="C877" s="9" t="s">
        <v>1684</v>
      </c>
      <c r="D877" s="11" t="s">
        <v>220</v>
      </c>
      <c r="E877" s="12"/>
      <c r="F877" s="12"/>
      <c r="G877" s="12"/>
      <c r="H877" s="13">
        <v>94</v>
      </c>
      <c r="I877" s="23" t="s">
        <v>11</v>
      </c>
    </row>
    <row r="878" spans="1:9" ht="46.8">
      <c r="A878" s="15">
        <v>654530</v>
      </c>
      <c r="B878" s="8" t="s">
        <v>1685</v>
      </c>
      <c r="C878" s="9" t="s">
        <v>1686</v>
      </c>
      <c r="D878" s="11" t="s">
        <v>220</v>
      </c>
      <c r="E878" s="12"/>
      <c r="F878" s="12"/>
      <c r="G878" s="12"/>
      <c r="H878" s="13">
        <v>94</v>
      </c>
      <c r="I878" s="23" t="s">
        <v>11</v>
      </c>
    </row>
    <row r="879" spans="1:9" ht="46.8">
      <c r="A879" s="15">
        <v>654530</v>
      </c>
      <c r="B879" s="8" t="s">
        <v>1687</v>
      </c>
      <c r="C879" s="9" t="s">
        <v>1688</v>
      </c>
      <c r="D879" s="11" t="s">
        <v>220</v>
      </c>
      <c r="E879" s="12"/>
      <c r="F879" s="12"/>
      <c r="G879" s="12"/>
      <c r="H879" s="13">
        <v>94</v>
      </c>
      <c r="I879" s="23" t="s">
        <v>11</v>
      </c>
    </row>
    <row r="880" spans="1:9" ht="46.8">
      <c r="A880" s="15">
        <v>654530</v>
      </c>
      <c r="B880" s="8" t="s">
        <v>1689</v>
      </c>
      <c r="C880" s="16" t="s">
        <v>1690</v>
      </c>
      <c r="D880" s="11" t="s">
        <v>220</v>
      </c>
      <c r="E880" s="12"/>
      <c r="F880" s="12"/>
      <c r="G880" s="12"/>
      <c r="H880" s="13">
        <v>94</v>
      </c>
      <c r="I880" s="14" t="s">
        <v>15</v>
      </c>
    </row>
    <row r="881" spans="1:9" ht="46.8">
      <c r="A881" s="15">
        <v>654530</v>
      </c>
      <c r="B881" s="8" t="s">
        <v>1691</v>
      </c>
      <c r="C881" s="9" t="s">
        <v>1692</v>
      </c>
      <c r="D881" s="11" t="s">
        <v>220</v>
      </c>
      <c r="E881" s="12"/>
      <c r="F881" s="12"/>
      <c r="G881" s="12"/>
      <c r="H881" s="13">
        <v>94</v>
      </c>
      <c r="I881" s="23" t="s">
        <v>11</v>
      </c>
    </row>
    <row r="882" spans="1:9" ht="62.4">
      <c r="A882" s="15">
        <v>654530</v>
      </c>
      <c r="B882" s="8" t="s">
        <v>1693</v>
      </c>
      <c r="C882" s="16" t="s">
        <v>1694</v>
      </c>
      <c r="D882" s="11" t="s">
        <v>220</v>
      </c>
      <c r="E882" s="12"/>
      <c r="F882" s="12"/>
      <c r="G882" s="12"/>
      <c r="H882" s="13">
        <v>94</v>
      </c>
      <c r="I882" s="14" t="s">
        <v>15</v>
      </c>
    </row>
    <row r="883" spans="1:9" ht="46.8">
      <c r="A883" s="15">
        <v>654530</v>
      </c>
      <c r="B883" s="8" t="s">
        <v>1695</v>
      </c>
      <c r="C883" s="9" t="s">
        <v>1696</v>
      </c>
      <c r="D883" s="11" t="s">
        <v>220</v>
      </c>
      <c r="E883" s="12"/>
      <c r="F883" s="12"/>
      <c r="G883" s="12"/>
      <c r="H883" s="13">
        <v>94</v>
      </c>
      <c r="I883" s="23" t="s">
        <v>11</v>
      </c>
    </row>
    <row r="884" spans="1:9" ht="31.2">
      <c r="A884" s="15">
        <v>300368</v>
      </c>
      <c r="B884" s="8" t="s">
        <v>1697</v>
      </c>
      <c r="C884" s="49" t="str">
        <f>HYPERLINK("https://catalog.archives.gov/search?q=M566&amp;f.ancestorNaIds=300368","Letters Received By The Office Of The Adjutant General, 1805-1821")</f>
        <v>Letters Received By The Office Of The Adjutant General, 1805-1821</v>
      </c>
      <c r="D884" s="11" t="s">
        <v>220</v>
      </c>
      <c r="E884" s="12"/>
      <c r="F884" s="12"/>
      <c r="G884" s="12"/>
      <c r="H884" s="13">
        <v>94</v>
      </c>
      <c r="I884" s="23" t="s">
        <v>11</v>
      </c>
    </row>
    <row r="885" spans="1:9" ht="31.2">
      <c r="A885" s="15">
        <v>300368</v>
      </c>
      <c r="B885" s="8" t="s">
        <v>1698</v>
      </c>
      <c r="C885" s="35" t="s">
        <v>1699</v>
      </c>
      <c r="D885" s="11" t="s">
        <v>220</v>
      </c>
      <c r="E885" s="12"/>
      <c r="F885" s="12"/>
      <c r="G885" s="12"/>
      <c r="H885" s="13">
        <v>94</v>
      </c>
      <c r="I885" s="23" t="s">
        <v>11</v>
      </c>
    </row>
    <row r="886" spans="1:9" ht="46.8">
      <c r="A886" s="15">
        <v>1078738</v>
      </c>
      <c r="B886" s="8" t="s">
        <v>1700</v>
      </c>
      <c r="C886" s="49" t="s">
        <v>1701</v>
      </c>
      <c r="D886" s="17" t="s">
        <v>220</v>
      </c>
      <c r="E886" s="12"/>
      <c r="F886" s="12"/>
      <c r="G886" s="12"/>
      <c r="H886" s="13">
        <v>59</v>
      </c>
      <c r="I886" s="23" t="s">
        <v>11</v>
      </c>
    </row>
    <row r="887" spans="1:9" ht="31.2">
      <c r="A887" s="65">
        <v>300341</v>
      </c>
      <c r="B887" s="21" t="s">
        <v>1702</v>
      </c>
      <c r="C887" s="66" t="s">
        <v>1703</v>
      </c>
      <c r="D887" s="67"/>
      <c r="E887" s="68"/>
      <c r="F887" s="69" t="s">
        <v>1704</v>
      </c>
      <c r="G887" s="70"/>
      <c r="H887" s="20">
        <v>75</v>
      </c>
      <c r="I887" s="14" t="s">
        <v>15</v>
      </c>
    </row>
    <row r="888" spans="1:9" ht="62.4">
      <c r="A888" s="41" t="s">
        <v>332</v>
      </c>
      <c r="B888" s="42" t="s">
        <v>1705</v>
      </c>
      <c r="C888" s="43" t="s">
        <v>1706</v>
      </c>
      <c r="D888" s="44"/>
      <c r="E888" s="62" t="s">
        <v>14</v>
      </c>
      <c r="F888" s="44"/>
      <c r="G888" s="44"/>
      <c r="H888" s="46">
        <v>36</v>
      </c>
      <c r="I888" s="47" t="s">
        <v>15</v>
      </c>
    </row>
    <row r="889" spans="1:9" ht="31.2">
      <c r="A889" s="41" t="s">
        <v>332</v>
      </c>
      <c r="B889" s="42" t="s">
        <v>1707</v>
      </c>
      <c r="C889" s="43" t="s">
        <v>1708</v>
      </c>
      <c r="D889" s="44"/>
      <c r="E889" s="62" t="s">
        <v>14</v>
      </c>
      <c r="F889" s="44"/>
      <c r="G889" s="44"/>
      <c r="H889" s="46">
        <v>59</v>
      </c>
      <c r="I889" s="47" t="s">
        <v>15</v>
      </c>
    </row>
    <row r="890" spans="1:9" ht="31.2">
      <c r="A890" s="15">
        <v>2353570</v>
      </c>
      <c r="B890" s="8" t="s">
        <v>1709</v>
      </c>
      <c r="C890" s="16" t="s">
        <v>1710</v>
      </c>
      <c r="D890" s="12"/>
      <c r="E890" s="17" t="s">
        <v>14</v>
      </c>
      <c r="F890" s="11" t="s">
        <v>43</v>
      </c>
      <c r="G890" s="12"/>
      <c r="H890" s="13">
        <v>29</v>
      </c>
      <c r="I890" s="14" t="s">
        <v>15</v>
      </c>
    </row>
    <row r="891" spans="1:9" ht="31.2">
      <c r="A891" s="15">
        <v>595276</v>
      </c>
      <c r="B891" s="8" t="s">
        <v>1711</v>
      </c>
      <c r="C891" s="16" t="s">
        <v>1712</v>
      </c>
      <c r="D891" s="11" t="str">
        <f>HYPERLINK("https://www.fold3.com/title/84/indian-census-rolls-1885-1940","Fold3.com")</f>
        <v>Fold3.com</v>
      </c>
      <c r="E891" s="17" t="s">
        <v>14</v>
      </c>
      <c r="F891" s="12"/>
      <c r="G891" s="12"/>
      <c r="H891" s="13">
        <v>75</v>
      </c>
      <c r="I891" s="14" t="s">
        <v>15</v>
      </c>
    </row>
    <row r="892" spans="1:9" ht="46.8">
      <c r="A892" s="41" t="s">
        <v>332</v>
      </c>
      <c r="B892" s="42" t="s">
        <v>1713</v>
      </c>
      <c r="C892" s="43" t="s">
        <v>1714</v>
      </c>
      <c r="D892" s="44"/>
      <c r="E892" s="62" t="s">
        <v>14</v>
      </c>
      <c r="F892" s="61" t="s">
        <v>43</v>
      </c>
      <c r="G892" s="44"/>
      <c r="H892" s="46">
        <v>36</v>
      </c>
      <c r="I892" s="47" t="s">
        <v>15</v>
      </c>
    </row>
    <row r="893" spans="1:9" ht="62.4">
      <c r="A893" s="7" t="s">
        <v>1715</v>
      </c>
      <c r="B893" s="8" t="s">
        <v>1716</v>
      </c>
      <c r="C893" s="35" t="s">
        <v>1717</v>
      </c>
      <c r="D893" s="12"/>
      <c r="E893" s="17" t="s">
        <v>14</v>
      </c>
      <c r="F893" s="12"/>
      <c r="G893" s="12"/>
      <c r="H893" s="13">
        <v>29</v>
      </c>
      <c r="I893" s="23" t="s">
        <v>11</v>
      </c>
    </row>
    <row r="894" spans="1:9" ht="46.8">
      <c r="A894" s="28" t="str">
        <f>HYPERLINK("https://catalog.archives.gov/search?q=M598&amp;f.level=series","Various")</f>
        <v>Various</v>
      </c>
      <c r="B894" s="8" t="s">
        <v>1718</v>
      </c>
      <c r="C894" s="16" t="s">
        <v>1719</v>
      </c>
      <c r="D894" s="12"/>
      <c r="E894" s="17" t="s">
        <v>14</v>
      </c>
      <c r="F894" s="11" t="s">
        <v>43</v>
      </c>
      <c r="G894" s="12"/>
      <c r="H894" s="13">
        <v>109</v>
      </c>
      <c r="I894" s="14" t="s">
        <v>15</v>
      </c>
    </row>
    <row r="895" spans="1:9" ht="187.2">
      <c r="A895" s="15" t="s">
        <v>1720</v>
      </c>
      <c r="B895" s="8" t="s">
        <v>1721</v>
      </c>
      <c r="C895" s="16" t="s">
        <v>1722</v>
      </c>
      <c r="D895" s="17" t="s">
        <v>220</v>
      </c>
      <c r="E895" s="12"/>
      <c r="F895" s="12"/>
      <c r="G895" s="12"/>
      <c r="H895" s="13">
        <v>153</v>
      </c>
      <c r="I895" s="14" t="s">
        <v>15</v>
      </c>
    </row>
    <row r="896" spans="1:9" ht="46.8">
      <c r="A896" s="15">
        <v>654501</v>
      </c>
      <c r="B896" s="8" t="s">
        <v>1723</v>
      </c>
      <c r="C896" s="35" t="s">
        <v>1724</v>
      </c>
      <c r="D896" s="11" t="s">
        <v>220</v>
      </c>
      <c r="E896" s="17" t="s">
        <v>14</v>
      </c>
      <c r="F896" s="11" t="s">
        <v>43</v>
      </c>
      <c r="G896" s="12"/>
      <c r="H896" s="13">
        <v>94</v>
      </c>
      <c r="I896" s="23" t="s">
        <v>18</v>
      </c>
    </row>
    <row r="897" spans="1:9" ht="31.2">
      <c r="A897" s="41" t="s">
        <v>332</v>
      </c>
      <c r="B897" s="42" t="s">
        <v>1725</v>
      </c>
      <c r="C897" s="43" t="s">
        <v>1726</v>
      </c>
      <c r="D897" s="44"/>
      <c r="E897" s="62" t="s">
        <v>14</v>
      </c>
      <c r="F897" s="61" t="s">
        <v>43</v>
      </c>
      <c r="G897" s="44"/>
      <c r="H897" s="46">
        <v>58</v>
      </c>
      <c r="I897" s="47" t="s">
        <v>15</v>
      </c>
    </row>
    <row r="898" spans="1:9" ht="46.8">
      <c r="A898" s="15">
        <v>654518</v>
      </c>
      <c r="B898" s="8" t="s">
        <v>1727</v>
      </c>
      <c r="C898" s="48" t="s">
        <v>1728</v>
      </c>
      <c r="D898" s="11" t="s">
        <v>220</v>
      </c>
      <c r="E898" s="12"/>
      <c r="F898" s="11" t="s">
        <v>43</v>
      </c>
      <c r="G898" s="12"/>
      <c r="H898" s="13">
        <v>94</v>
      </c>
      <c r="I898" s="23" t="s">
        <v>11</v>
      </c>
    </row>
    <row r="899" spans="1:9" ht="31.2">
      <c r="A899" s="15">
        <v>561324</v>
      </c>
      <c r="B899" s="8" t="s">
        <v>1729</v>
      </c>
      <c r="C899" s="16" t="s">
        <v>1730</v>
      </c>
      <c r="D899" s="12"/>
      <c r="E899" s="17" t="s">
        <v>14</v>
      </c>
      <c r="F899" s="12"/>
      <c r="G899" s="12"/>
      <c r="H899" s="13">
        <v>94</v>
      </c>
      <c r="I899" s="14" t="s">
        <v>15</v>
      </c>
    </row>
    <row r="900" spans="1:9" ht="31.2">
      <c r="A900" s="15">
        <v>300368</v>
      </c>
      <c r="B900" s="8" t="s">
        <v>1731</v>
      </c>
      <c r="C900" s="35" t="s">
        <v>1732</v>
      </c>
      <c r="D900" s="11" t="s">
        <v>220</v>
      </c>
      <c r="E900" s="12"/>
      <c r="F900" s="12"/>
      <c r="G900" s="12"/>
      <c r="H900" s="13">
        <v>94</v>
      </c>
      <c r="I900" s="23" t="s">
        <v>18</v>
      </c>
    </row>
    <row r="901" spans="1:9" ht="46.8">
      <c r="A901" s="15">
        <v>654513</v>
      </c>
      <c r="B901" s="8" t="s">
        <v>1733</v>
      </c>
      <c r="C901" s="16" t="s">
        <v>1734</v>
      </c>
      <c r="D901" s="11" t="s">
        <v>220</v>
      </c>
      <c r="E901" s="17" t="s">
        <v>14</v>
      </c>
      <c r="F901" s="12"/>
      <c r="G901" s="12"/>
      <c r="H901" s="13">
        <v>94</v>
      </c>
      <c r="I901" s="14" t="s">
        <v>15</v>
      </c>
    </row>
    <row r="902" spans="1:9" ht="46.8">
      <c r="A902" s="15">
        <v>654530</v>
      </c>
      <c r="B902" s="8" t="s">
        <v>1735</v>
      </c>
      <c r="C902" s="35" t="s">
        <v>1736</v>
      </c>
      <c r="D902" s="11" t="s">
        <v>220</v>
      </c>
      <c r="E902" s="12"/>
      <c r="F902" s="12"/>
      <c r="G902" s="12"/>
      <c r="H902" s="13">
        <v>94</v>
      </c>
      <c r="I902" s="23" t="s">
        <v>11</v>
      </c>
    </row>
    <row r="903" spans="1:9" ht="46.8">
      <c r="A903" s="15">
        <v>654520</v>
      </c>
      <c r="B903" s="8" t="s">
        <v>1737</v>
      </c>
      <c r="C903" s="49" t="str">
        <f>HYPERLINK("https://catalog.archives.gov/search?q=M638&amp;f.ancestorNaIds=654520","Compiled Service Records of Volunteer Soldiers Who Served During the Mexican War From the State of Tennessee")</f>
        <v>Compiled Service Records of Volunteer Soldiers Who Served During the Mexican War From the State of Tennessee</v>
      </c>
      <c r="D903" s="11" t="s">
        <v>220</v>
      </c>
      <c r="E903" s="17" t="s">
        <v>14</v>
      </c>
      <c r="F903" s="11" t="s">
        <v>43</v>
      </c>
      <c r="G903" s="12"/>
      <c r="H903" s="13">
        <v>94</v>
      </c>
      <c r="I903" s="23" t="s">
        <v>11</v>
      </c>
    </row>
    <row r="904" spans="1:9" ht="31.2">
      <c r="A904" s="15">
        <v>2353568</v>
      </c>
      <c r="B904" s="8" t="s">
        <v>1738</v>
      </c>
      <c r="C904" s="16" t="s">
        <v>1739</v>
      </c>
      <c r="D904" s="17" t="s">
        <v>220</v>
      </c>
      <c r="E904" s="17" t="s">
        <v>14</v>
      </c>
      <c r="F904" s="11" t="s">
        <v>43</v>
      </c>
      <c r="G904" s="12"/>
      <c r="H904" s="13">
        <v>29</v>
      </c>
      <c r="I904" s="14" t="s">
        <v>15</v>
      </c>
    </row>
    <row r="905" spans="1:9" ht="31.2">
      <c r="A905" s="15">
        <v>300381</v>
      </c>
      <c r="B905" s="8" t="s">
        <v>1740</v>
      </c>
      <c r="C905" s="49" t="s">
        <v>1741</v>
      </c>
      <c r="D905" s="12"/>
      <c r="E905" s="17" t="s">
        <v>14</v>
      </c>
      <c r="F905" s="12"/>
      <c r="G905" s="12"/>
      <c r="H905" s="13">
        <v>94</v>
      </c>
      <c r="I905" s="23" t="s">
        <v>11</v>
      </c>
    </row>
    <row r="906" spans="1:9" ht="31.2">
      <c r="A906" s="15">
        <v>300368</v>
      </c>
      <c r="B906" s="8" t="s">
        <v>1742</v>
      </c>
      <c r="C906" s="35" t="s">
        <v>1743</v>
      </c>
      <c r="D906" s="11" t="s">
        <v>220</v>
      </c>
      <c r="E906" s="12"/>
      <c r="F906" s="12"/>
      <c r="G906" s="12"/>
      <c r="H906" s="13">
        <v>94</v>
      </c>
      <c r="I906" s="23" t="s">
        <v>18</v>
      </c>
    </row>
    <row r="907" spans="1:9" ht="62.4">
      <c r="A907" s="15" t="s">
        <v>1744</v>
      </c>
      <c r="B907" s="8" t="s">
        <v>1745</v>
      </c>
      <c r="C907" s="49" t="str">
        <f>HYPERLINK("https://catalog.archives.gov/search?q=*:*&amp;f.ancestorNaIds=299798&amp;sort=naIdSort%20asc&amp;f.oldScope=online","Ratified Indian Treaties, 1722-1869")</f>
        <v>Ratified Indian Treaties, 1722-1869</v>
      </c>
      <c r="D907" s="17" t="s">
        <v>220</v>
      </c>
      <c r="E907" s="17" t="s">
        <v>14</v>
      </c>
      <c r="F907" s="12"/>
      <c r="G907" s="12"/>
      <c r="H907" s="13">
        <v>11</v>
      </c>
      <c r="I907" s="14" t="s">
        <v>18</v>
      </c>
    </row>
    <row r="908" spans="1:9" ht="46.8">
      <c r="A908" s="15">
        <v>300392</v>
      </c>
      <c r="B908" s="8" t="s">
        <v>1746</v>
      </c>
      <c r="C908" s="35" t="s">
        <v>1747</v>
      </c>
      <c r="D908" s="11" t="s">
        <v>220</v>
      </c>
      <c r="E908" s="17" t="s">
        <v>14</v>
      </c>
      <c r="F908" s="12"/>
      <c r="G908" s="12"/>
      <c r="H908" s="13">
        <v>94</v>
      </c>
      <c r="I908" s="23" t="s">
        <v>11</v>
      </c>
    </row>
    <row r="909" spans="1:9" ht="31.2">
      <c r="A909" s="15">
        <v>2110769</v>
      </c>
      <c r="B909" s="8" t="s">
        <v>1748</v>
      </c>
      <c r="C909" s="16" t="s">
        <v>1749</v>
      </c>
      <c r="D909" s="11" t="s">
        <v>220</v>
      </c>
      <c r="E909" s="17" t="s">
        <v>14</v>
      </c>
      <c r="F909" s="12"/>
      <c r="G909" s="12"/>
      <c r="H909" s="13">
        <v>75</v>
      </c>
      <c r="I909" s="14" t="s">
        <v>15</v>
      </c>
    </row>
    <row r="910" spans="1:9" ht="31.2">
      <c r="A910" s="15">
        <v>588793</v>
      </c>
      <c r="B910" s="8" t="s">
        <v>1750</v>
      </c>
      <c r="C910" s="16" t="s">
        <v>1751</v>
      </c>
      <c r="D910" s="12"/>
      <c r="E910" s="17" t="s">
        <v>14</v>
      </c>
      <c r="F910" s="11" t="s">
        <v>43</v>
      </c>
      <c r="G910" s="12"/>
      <c r="H910" s="13">
        <v>94</v>
      </c>
      <c r="I910" s="14" t="s">
        <v>15</v>
      </c>
    </row>
    <row r="911" spans="1:9" ht="31.2">
      <c r="A911" s="15" t="s">
        <v>1752</v>
      </c>
      <c r="B911" s="8" t="s">
        <v>1753</v>
      </c>
      <c r="C911" s="16" t="s">
        <v>1754</v>
      </c>
      <c r="D911" s="12"/>
      <c r="E911" s="17" t="s">
        <v>14</v>
      </c>
      <c r="F911" s="12"/>
      <c r="G911" s="12"/>
      <c r="H911" s="13">
        <v>94</v>
      </c>
      <c r="I911" s="14" t="s">
        <v>15</v>
      </c>
    </row>
    <row r="912" spans="1:9" ht="31.2">
      <c r="A912" s="15">
        <v>300381</v>
      </c>
      <c r="B912" s="8" t="s">
        <v>1755</v>
      </c>
      <c r="C912" s="16" t="s">
        <v>1756</v>
      </c>
      <c r="D912" s="12"/>
      <c r="E912" s="17" t="s">
        <v>14</v>
      </c>
      <c r="F912" s="12"/>
      <c r="G912" s="12"/>
      <c r="H912" s="13">
        <v>94</v>
      </c>
      <c r="I912" s="14" t="s">
        <v>15</v>
      </c>
    </row>
    <row r="913" spans="1:9" ht="46.8">
      <c r="A913" s="15">
        <v>300398</v>
      </c>
      <c r="B913" s="8" t="s">
        <v>1757</v>
      </c>
      <c r="C913" s="9" t="s">
        <v>1758</v>
      </c>
      <c r="D913" s="11" t="str">
        <f>HYPERLINK("https://www.fold3.com/title/56/civil-war-soldiers-union-ut","Fold3.com")</f>
        <v>Fold3.com</v>
      </c>
      <c r="E913" s="17" t="s">
        <v>14</v>
      </c>
      <c r="F913" s="11" t="s">
        <v>43</v>
      </c>
      <c r="G913" s="12"/>
      <c r="H913" s="13">
        <v>94</v>
      </c>
      <c r="I913" s="23" t="s">
        <v>11</v>
      </c>
    </row>
    <row r="914" spans="1:9" ht="31.2">
      <c r="A914" s="15">
        <v>2353564</v>
      </c>
      <c r="B914" s="8" t="s">
        <v>1759</v>
      </c>
      <c r="C914" s="16" t="s">
        <v>1760</v>
      </c>
      <c r="D914" s="12"/>
      <c r="E914" s="17" t="s">
        <v>14</v>
      </c>
      <c r="F914" s="11" t="s">
        <v>1761</v>
      </c>
      <c r="G914" s="12"/>
      <c r="H914" s="13">
        <v>29</v>
      </c>
      <c r="I914" s="14" t="s">
        <v>15</v>
      </c>
    </row>
    <row r="915" spans="1:9" ht="31.2">
      <c r="A915" s="15">
        <v>300381</v>
      </c>
      <c r="B915" s="8" t="s">
        <v>1762</v>
      </c>
      <c r="C915" s="16" t="s">
        <v>1763</v>
      </c>
      <c r="D915" s="12"/>
      <c r="E915" s="17" t="s">
        <v>14</v>
      </c>
      <c r="F915" s="12"/>
      <c r="G915" s="12"/>
      <c r="H915" s="13">
        <v>94</v>
      </c>
      <c r="I915" s="14" t="s">
        <v>15</v>
      </c>
    </row>
    <row r="916" spans="1:9" ht="31.2">
      <c r="A916" s="15">
        <v>300381</v>
      </c>
      <c r="B916" s="8" t="s">
        <v>1764</v>
      </c>
      <c r="C916" s="16" t="s">
        <v>1765</v>
      </c>
      <c r="D916" s="12"/>
      <c r="E916" s="17" t="s">
        <v>14</v>
      </c>
      <c r="F916" s="12"/>
      <c r="G916" s="12"/>
      <c r="H916" s="13">
        <v>94</v>
      </c>
      <c r="I916" s="14" t="s">
        <v>15</v>
      </c>
    </row>
    <row r="917" spans="1:9" ht="109.2">
      <c r="A917" s="15" t="s">
        <v>1766</v>
      </c>
      <c r="B917" s="8" t="s">
        <v>1767</v>
      </c>
      <c r="C917" s="16" t="s">
        <v>1768</v>
      </c>
      <c r="D917" s="12"/>
      <c r="E917" s="12"/>
      <c r="F917" s="11" t="s">
        <v>43</v>
      </c>
      <c r="G917" s="12"/>
      <c r="H917" s="13">
        <v>105</v>
      </c>
      <c r="I917" s="14" t="s">
        <v>15</v>
      </c>
    </row>
    <row r="918" spans="1:9" ht="62.4">
      <c r="A918" s="15">
        <v>300381</v>
      </c>
      <c r="B918" s="8" t="s">
        <v>1769</v>
      </c>
      <c r="C918" s="16" t="s">
        <v>1770</v>
      </c>
      <c r="D918" s="12"/>
      <c r="E918" s="17" t="s">
        <v>14</v>
      </c>
      <c r="F918" s="12"/>
      <c r="G918" s="11" t="s">
        <v>1771</v>
      </c>
      <c r="H918" s="13">
        <v>391</v>
      </c>
      <c r="I918" s="14" t="s">
        <v>15</v>
      </c>
    </row>
    <row r="919" spans="1:9" ht="78">
      <c r="A919" s="15" t="s">
        <v>1772</v>
      </c>
      <c r="B919" s="8" t="s">
        <v>1773</v>
      </c>
      <c r="C919" s="16" t="s">
        <v>1774</v>
      </c>
      <c r="D919" s="12"/>
      <c r="E919" s="12"/>
      <c r="F919" s="11" t="s">
        <v>43</v>
      </c>
      <c r="G919" s="12"/>
      <c r="H919" s="13">
        <v>105</v>
      </c>
      <c r="I919" s="14" t="s">
        <v>15</v>
      </c>
    </row>
    <row r="920" spans="1:9" ht="31.2">
      <c r="A920" s="41" t="s">
        <v>332</v>
      </c>
      <c r="B920" s="42" t="s">
        <v>1775</v>
      </c>
      <c r="C920" s="43" t="s">
        <v>1776</v>
      </c>
      <c r="D920" s="44"/>
      <c r="E920" s="62" t="s">
        <v>14</v>
      </c>
      <c r="F920" s="61" t="s">
        <v>43</v>
      </c>
      <c r="G920" s="44"/>
      <c r="H920" s="46">
        <v>58</v>
      </c>
      <c r="I920" s="47" t="s">
        <v>15</v>
      </c>
    </row>
    <row r="921" spans="1:9" ht="31.2">
      <c r="A921" s="41" t="s">
        <v>332</v>
      </c>
      <c r="B921" s="42" t="s">
        <v>1777</v>
      </c>
      <c r="C921" s="43" t="s">
        <v>1778</v>
      </c>
      <c r="D921" s="44"/>
      <c r="E921" s="62" t="s">
        <v>14</v>
      </c>
      <c r="F921" s="61" t="s">
        <v>43</v>
      </c>
      <c r="G921" s="44"/>
      <c r="H921" s="46">
        <v>58</v>
      </c>
      <c r="I921" s="47" t="s">
        <v>15</v>
      </c>
    </row>
    <row r="922" spans="1:9" ht="31.2">
      <c r="A922" s="41" t="s">
        <v>332</v>
      </c>
      <c r="B922" s="42" t="s">
        <v>1779</v>
      </c>
      <c r="C922" s="43" t="s">
        <v>1780</v>
      </c>
      <c r="D922" s="44"/>
      <c r="E922" s="62" t="s">
        <v>14</v>
      </c>
      <c r="F922" s="61" t="s">
        <v>43</v>
      </c>
      <c r="G922" s="44"/>
      <c r="H922" s="46">
        <v>58</v>
      </c>
      <c r="I922" s="47" t="s">
        <v>15</v>
      </c>
    </row>
    <row r="923" spans="1:9" ht="31.2">
      <c r="A923" s="41" t="s">
        <v>332</v>
      </c>
      <c r="B923" s="42" t="s">
        <v>1781</v>
      </c>
      <c r="C923" s="43" t="s">
        <v>1782</v>
      </c>
      <c r="D923" s="44"/>
      <c r="E923" s="62" t="s">
        <v>14</v>
      </c>
      <c r="F923" s="61" t="s">
        <v>43</v>
      </c>
      <c r="G923" s="44"/>
      <c r="H923" s="46">
        <v>58</v>
      </c>
      <c r="I923" s="47" t="s">
        <v>15</v>
      </c>
    </row>
    <row r="924" spans="1:9" ht="31.2">
      <c r="A924" s="41" t="s">
        <v>332</v>
      </c>
      <c r="B924" s="42" t="s">
        <v>1783</v>
      </c>
      <c r="C924" s="43" t="s">
        <v>1784</v>
      </c>
      <c r="D924" s="44"/>
      <c r="E924" s="62" t="s">
        <v>14</v>
      </c>
      <c r="F924" s="61" t="s">
        <v>43</v>
      </c>
      <c r="G924" s="44"/>
      <c r="H924" s="46">
        <v>58</v>
      </c>
      <c r="I924" s="47" t="s">
        <v>15</v>
      </c>
    </row>
    <row r="925" spans="1:9" ht="31.2">
      <c r="A925" s="41" t="s">
        <v>332</v>
      </c>
      <c r="B925" s="42" t="s">
        <v>1785</v>
      </c>
      <c r="C925" s="43" t="s">
        <v>1786</v>
      </c>
      <c r="D925" s="44"/>
      <c r="E925" s="62" t="s">
        <v>14</v>
      </c>
      <c r="F925" s="61" t="s">
        <v>43</v>
      </c>
      <c r="G925" s="44"/>
      <c r="H925" s="46">
        <v>58</v>
      </c>
      <c r="I925" s="47" t="s">
        <v>15</v>
      </c>
    </row>
    <row r="926" spans="1:9" ht="31.2">
      <c r="A926" s="41" t="s">
        <v>332</v>
      </c>
      <c r="B926" s="42" t="s">
        <v>1787</v>
      </c>
      <c r="C926" s="43" t="s">
        <v>1788</v>
      </c>
      <c r="D926" s="44"/>
      <c r="E926" s="62" t="s">
        <v>14</v>
      </c>
      <c r="F926" s="61" t="s">
        <v>43</v>
      </c>
      <c r="G926" s="44"/>
      <c r="H926" s="46">
        <v>58</v>
      </c>
      <c r="I926" s="47" t="s">
        <v>15</v>
      </c>
    </row>
    <row r="927" spans="1:9" ht="31.2">
      <c r="A927" s="41" t="s">
        <v>332</v>
      </c>
      <c r="B927" s="42" t="s">
        <v>1789</v>
      </c>
      <c r="C927" s="43" t="s">
        <v>1790</v>
      </c>
      <c r="D927" s="44"/>
      <c r="E927" s="62" t="s">
        <v>14</v>
      </c>
      <c r="F927" s="61" t="s">
        <v>43</v>
      </c>
      <c r="G927" s="44"/>
      <c r="H927" s="46">
        <v>58</v>
      </c>
      <c r="I927" s="47" t="s">
        <v>15</v>
      </c>
    </row>
    <row r="928" spans="1:9" ht="31.2">
      <c r="A928" s="41" t="s">
        <v>332</v>
      </c>
      <c r="B928" s="42" t="s">
        <v>1791</v>
      </c>
      <c r="C928" s="43" t="s">
        <v>1792</v>
      </c>
      <c r="D928" s="44"/>
      <c r="E928" s="62" t="s">
        <v>14</v>
      </c>
      <c r="F928" s="61" t="s">
        <v>43</v>
      </c>
      <c r="G928" s="44"/>
      <c r="H928" s="46">
        <v>58</v>
      </c>
      <c r="I928" s="47" t="s">
        <v>15</v>
      </c>
    </row>
    <row r="929" spans="1:9" ht="31.2">
      <c r="A929" s="41" t="s">
        <v>332</v>
      </c>
      <c r="B929" s="42" t="s">
        <v>1793</v>
      </c>
      <c r="C929" s="43" t="s">
        <v>1794</v>
      </c>
      <c r="D929" s="44"/>
      <c r="E929" s="62" t="s">
        <v>14</v>
      </c>
      <c r="F929" s="61" t="s">
        <v>43</v>
      </c>
      <c r="G929" s="44"/>
      <c r="H929" s="46">
        <v>58</v>
      </c>
      <c r="I929" s="47" t="s">
        <v>15</v>
      </c>
    </row>
    <row r="930" spans="1:9" ht="31.2">
      <c r="A930" s="41" t="s">
        <v>332</v>
      </c>
      <c r="B930" s="42" t="s">
        <v>1795</v>
      </c>
      <c r="C930" s="43" t="s">
        <v>1796</v>
      </c>
      <c r="D930" s="44"/>
      <c r="E930" s="62" t="s">
        <v>14</v>
      </c>
      <c r="F930" s="61" t="s">
        <v>43</v>
      </c>
      <c r="G930" s="44"/>
      <c r="H930" s="46">
        <v>58</v>
      </c>
      <c r="I930" s="47" t="s">
        <v>15</v>
      </c>
    </row>
    <row r="931" spans="1:9" ht="31.2">
      <c r="A931" s="41" t="s">
        <v>332</v>
      </c>
      <c r="B931" s="42" t="s">
        <v>1797</v>
      </c>
      <c r="C931" s="43" t="s">
        <v>1798</v>
      </c>
      <c r="D931" s="44"/>
      <c r="E931" s="62" t="s">
        <v>14</v>
      </c>
      <c r="F931" s="61" t="s">
        <v>43</v>
      </c>
      <c r="G931" s="44"/>
      <c r="H931" s="46">
        <v>58</v>
      </c>
      <c r="I931" s="47" t="s">
        <v>15</v>
      </c>
    </row>
    <row r="932" spans="1:9" ht="31.2">
      <c r="A932" s="41" t="s">
        <v>332</v>
      </c>
      <c r="B932" s="42" t="s">
        <v>1799</v>
      </c>
      <c r="C932" s="43" t="s">
        <v>1800</v>
      </c>
      <c r="D932" s="44"/>
      <c r="E932" s="62" t="s">
        <v>14</v>
      </c>
      <c r="F932" s="61" t="s">
        <v>43</v>
      </c>
      <c r="G932" s="44"/>
      <c r="H932" s="46">
        <v>58</v>
      </c>
      <c r="I932" s="47" t="s">
        <v>15</v>
      </c>
    </row>
    <row r="933" spans="1:9" ht="31.2">
      <c r="A933" s="41" t="s">
        <v>332</v>
      </c>
      <c r="B933" s="42" t="s">
        <v>1801</v>
      </c>
      <c r="C933" s="43" t="s">
        <v>1802</v>
      </c>
      <c r="D933" s="44"/>
      <c r="E933" s="62" t="s">
        <v>14</v>
      </c>
      <c r="F933" s="61" t="s">
        <v>43</v>
      </c>
      <c r="G933" s="44"/>
      <c r="H933" s="46">
        <v>58</v>
      </c>
      <c r="I933" s="47" t="s">
        <v>15</v>
      </c>
    </row>
    <row r="934" spans="1:9" ht="31.2">
      <c r="A934" s="41" t="s">
        <v>332</v>
      </c>
      <c r="B934" s="42" t="s">
        <v>1803</v>
      </c>
      <c r="C934" s="43" t="s">
        <v>1804</v>
      </c>
      <c r="D934" s="44"/>
      <c r="E934" s="62" t="s">
        <v>14</v>
      </c>
      <c r="F934" s="61" t="s">
        <v>43</v>
      </c>
      <c r="G934" s="44"/>
      <c r="H934" s="46">
        <v>58</v>
      </c>
      <c r="I934" s="47" t="s">
        <v>15</v>
      </c>
    </row>
    <row r="935" spans="1:9" ht="31.2">
      <c r="A935" s="41" t="s">
        <v>332</v>
      </c>
      <c r="B935" s="42" t="s">
        <v>1805</v>
      </c>
      <c r="C935" s="43" t="s">
        <v>1806</v>
      </c>
      <c r="D935" s="44"/>
      <c r="E935" s="62" t="s">
        <v>14</v>
      </c>
      <c r="F935" s="61" t="s">
        <v>43</v>
      </c>
      <c r="G935" s="44"/>
      <c r="H935" s="46">
        <v>58</v>
      </c>
      <c r="I935" s="47" t="s">
        <v>15</v>
      </c>
    </row>
    <row r="936" spans="1:9" ht="31.2">
      <c r="A936" s="41" t="s">
        <v>332</v>
      </c>
      <c r="B936" s="42" t="s">
        <v>1807</v>
      </c>
      <c r="C936" s="43" t="s">
        <v>1808</v>
      </c>
      <c r="D936" s="44"/>
      <c r="E936" s="62" t="s">
        <v>14</v>
      </c>
      <c r="F936" s="61" t="s">
        <v>43</v>
      </c>
      <c r="G936" s="44"/>
      <c r="H936" s="46">
        <v>58</v>
      </c>
      <c r="I936" s="47" t="s">
        <v>15</v>
      </c>
    </row>
    <row r="937" spans="1:9" ht="31.2">
      <c r="A937" s="41" t="s">
        <v>332</v>
      </c>
      <c r="B937" s="42" t="s">
        <v>1809</v>
      </c>
      <c r="C937" s="43" t="s">
        <v>1810</v>
      </c>
      <c r="D937" s="44"/>
      <c r="E937" s="62" t="s">
        <v>14</v>
      </c>
      <c r="F937" s="61" t="s">
        <v>43</v>
      </c>
      <c r="G937" s="44"/>
      <c r="H937" s="46">
        <v>58</v>
      </c>
      <c r="I937" s="47" t="s">
        <v>15</v>
      </c>
    </row>
    <row r="938" spans="1:9" ht="31.2">
      <c r="A938" s="41" t="s">
        <v>332</v>
      </c>
      <c r="B938" s="42" t="s">
        <v>1811</v>
      </c>
      <c r="C938" s="43" t="s">
        <v>1812</v>
      </c>
      <c r="D938" s="44"/>
      <c r="E938" s="62" t="s">
        <v>14</v>
      </c>
      <c r="F938" s="61" t="s">
        <v>43</v>
      </c>
      <c r="G938" s="44"/>
      <c r="H938" s="46">
        <v>58</v>
      </c>
      <c r="I938" s="47" t="s">
        <v>15</v>
      </c>
    </row>
    <row r="939" spans="1:9" ht="31.2">
      <c r="A939" s="41" t="s">
        <v>332</v>
      </c>
      <c r="B939" s="42" t="s">
        <v>1813</v>
      </c>
      <c r="C939" s="43" t="s">
        <v>1814</v>
      </c>
      <c r="D939" s="44"/>
      <c r="E939" s="62" t="s">
        <v>14</v>
      </c>
      <c r="F939" s="61" t="s">
        <v>43</v>
      </c>
      <c r="G939" s="44"/>
      <c r="H939" s="46">
        <v>58</v>
      </c>
      <c r="I939" s="47" t="s">
        <v>15</v>
      </c>
    </row>
    <row r="940" spans="1:9" ht="31.2">
      <c r="A940" s="41" t="s">
        <v>332</v>
      </c>
      <c r="B940" s="42" t="s">
        <v>1815</v>
      </c>
      <c r="C940" s="43" t="s">
        <v>1816</v>
      </c>
      <c r="D940" s="44"/>
      <c r="E940" s="62" t="s">
        <v>14</v>
      </c>
      <c r="F940" s="61" t="s">
        <v>43</v>
      </c>
      <c r="G940" s="44"/>
      <c r="H940" s="46">
        <v>58</v>
      </c>
      <c r="I940" s="47" t="s">
        <v>15</v>
      </c>
    </row>
    <row r="941" spans="1:9" ht="31.2">
      <c r="A941" s="41" t="s">
        <v>332</v>
      </c>
      <c r="B941" s="42" t="s">
        <v>1817</v>
      </c>
      <c r="C941" s="43" t="s">
        <v>1818</v>
      </c>
      <c r="D941" s="44"/>
      <c r="E941" s="62" t="s">
        <v>14</v>
      </c>
      <c r="F941" s="61" t="s">
        <v>43</v>
      </c>
      <c r="G941" s="44"/>
      <c r="H941" s="46">
        <v>58</v>
      </c>
      <c r="I941" s="47" t="s">
        <v>15</v>
      </c>
    </row>
    <row r="942" spans="1:9" ht="31.2">
      <c r="A942" s="41" t="s">
        <v>332</v>
      </c>
      <c r="B942" s="42" t="s">
        <v>1819</v>
      </c>
      <c r="C942" s="43" t="s">
        <v>1820</v>
      </c>
      <c r="D942" s="44"/>
      <c r="E942" s="62" t="s">
        <v>14</v>
      </c>
      <c r="F942" s="61" t="s">
        <v>43</v>
      </c>
      <c r="G942" s="44"/>
      <c r="H942" s="46">
        <v>58</v>
      </c>
      <c r="I942" s="47" t="s">
        <v>15</v>
      </c>
    </row>
    <row r="943" spans="1:9" ht="31.2">
      <c r="A943" s="41" t="s">
        <v>332</v>
      </c>
      <c r="B943" s="42" t="s">
        <v>1821</v>
      </c>
      <c r="C943" s="43" t="s">
        <v>1822</v>
      </c>
      <c r="D943" s="44"/>
      <c r="E943" s="62" t="s">
        <v>14</v>
      </c>
      <c r="F943" s="61" t="s">
        <v>43</v>
      </c>
      <c r="G943" s="44"/>
      <c r="H943" s="46">
        <v>58</v>
      </c>
      <c r="I943" s="47" t="s">
        <v>15</v>
      </c>
    </row>
    <row r="944" spans="1:9" ht="31.2">
      <c r="A944" s="41" t="s">
        <v>332</v>
      </c>
      <c r="B944" s="42" t="s">
        <v>1823</v>
      </c>
      <c r="C944" s="43" t="s">
        <v>1824</v>
      </c>
      <c r="D944" s="44"/>
      <c r="E944" s="62" t="s">
        <v>14</v>
      </c>
      <c r="F944" s="61" t="s">
        <v>43</v>
      </c>
      <c r="G944" s="44"/>
      <c r="H944" s="46">
        <v>58</v>
      </c>
      <c r="I944" s="47" t="s">
        <v>15</v>
      </c>
    </row>
    <row r="945" spans="1:9" ht="31.2">
      <c r="A945" s="41" t="s">
        <v>332</v>
      </c>
      <c r="B945" s="42" t="s">
        <v>1825</v>
      </c>
      <c r="C945" s="43" t="s">
        <v>1826</v>
      </c>
      <c r="D945" s="44"/>
      <c r="E945" s="62" t="s">
        <v>14</v>
      </c>
      <c r="F945" s="61" t="s">
        <v>43</v>
      </c>
      <c r="G945" s="44"/>
      <c r="H945" s="46">
        <v>58</v>
      </c>
      <c r="I945" s="47" t="s">
        <v>15</v>
      </c>
    </row>
    <row r="946" spans="1:9" ht="31.2">
      <c r="A946" s="41" t="s">
        <v>332</v>
      </c>
      <c r="B946" s="42" t="s">
        <v>1827</v>
      </c>
      <c r="C946" s="43" t="s">
        <v>1828</v>
      </c>
      <c r="D946" s="44"/>
      <c r="E946" s="62" t="s">
        <v>14</v>
      </c>
      <c r="F946" s="61" t="s">
        <v>43</v>
      </c>
      <c r="G946" s="44"/>
      <c r="H946" s="46">
        <v>58</v>
      </c>
      <c r="I946" s="47" t="s">
        <v>15</v>
      </c>
    </row>
    <row r="947" spans="1:9" ht="31.2">
      <c r="A947" s="41" t="s">
        <v>332</v>
      </c>
      <c r="B947" s="42" t="s">
        <v>1829</v>
      </c>
      <c r="C947" s="43" t="s">
        <v>1830</v>
      </c>
      <c r="D947" s="62" t="s">
        <v>220</v>
      </c>
      <c r="E947" s="62" t="s">
        <v>14</v>
      </c>
      <c r="F947" s="61" t="s">
        <v>43</v>
      </c>
      <c r="G947" s="44"/>
      <c r="H947" s="46">
        <v>58</v>
      </c>
      <c r="I947" s="47" t="s">
        <v>15</v>
      </c>
    </row>
    <row r="948" spans="1:9" ht="31.2">
      <c r="A948" s="41" t="s">
        <v>332</v>
      </c>
      <c r="B948" s="42" t="s">
        <v>1831</v>
      </c>
      <c r="C948" s="43" t="s">
        <v>1832</v>
      </c>
      <c r="D948" s="44"/>
      <c r="E948" s="62" t="s">
        <v>14</v>
      </c>
      <c r="F948" s="61" t="s">
        <v>43</v>
      </c>
      <c r="G948" s="44"/>
      <c r="H948" s="46">
        <v>58</v>
      </c>
      <c r="I948" s="47" t="s">
        <v>15</v>
      </c>
    </row>
    <row r="949" spans="1:9" ht="31.2">
      <c r="A949" s="41" t="s">
        <v>332</v>
      </c>
      <c r="B949" s="42" t="s">
        <v>1833</v>
      </c>
      <c r="C949" s="43" t="s">
        <v>1834</v>
      </c>
      <c r="D949" s="44"/>
      <c r="E949" s="62" t="s">
        <v>14</v>
      </c>
      <c r="F949" s="61" t="s">
        <v>43</v>
      </c>
      <c r="G949" s="44"/>
      <c r="H949" s="46">
        <v>58</v>
      </c>
      <c r="I949" s="47" t="s">
        <v>15</v>
      </c>
    </row>
    <row r="950" spans="1:9" ht="31.2">
      <c r="A950" s="41" t="s">
        <v>332</v>
      </c>
      <c r="B950" s="42" t="s">
        <v>1835</v>
      </c>
      <c r="C950" s="43" t="s">
        <v>1836</v>
      </c>
      <c r="D950" s="44"/>
      <c r="E950" s="62" t="s">
        <v>14</v>
      </c>
      <c r="F950" s="61" t="s">
        <v>43</v>
      </c>
      <c r="G950" s="44"/>
      <c r="H950" s="46">
        <v>58</v>
      </c>
      <c r="I950" s="47" t="s">
        <v>15</v>
      </c>
    </row>
    <row r="951" spans="1:9" ht="31.2">
      <c r="A951" s="41" t="s">
        <v>332</v>
      </c>
      <c r="B951" s="42" t="s">
        <v>1837</v>
      </c>
      <c r="C951" s="43" t="s">
        <v>1838</v>
      </c>
      <c r="D951" s="44"/>
      <c r="E951" s="62" t="s">
        <v>14</v>
      </c>
      <c r="F951" s="61" t="s">
        <v>43</v>
      </c>
      <c r="G951" s="44"/>
      <c r="H951" s="46">
        <v>58</v>
      </c>
      <c r="I951" s="47" t="s">
        <v>15</v>
      </c>
    </row>
    <row r="952" spans="1:9" ht="31.2">
      <c r="A952" s="41" t="s">
        <v>332</v>
      </c>
      <c r="B952" s="42" t="s">
        <v>1839</v>
      </c>
      <c r="C952" s="43" t="s">
        <v>1840</v>
      </c>
      <c r="D952" s="44"/>
      <c r="E952" s="62" t="s">
        <v>14</v>
      </c>
      <c r="F952" s="61" t="s">
        <v>43</v>
      </c>
      <c r="G952" s="44"/>
      <c r="H952" s="46">
        <v>58</v>
      </c>
      <c r="I952" s="47" t="s">
        <v>15</v>
      </c>
    </row>
    <row r="953" spans="1:9" ht="31.2">
      <c r="A953" s="41" t="s">
        <v>332</v>
      </c>
      <c r="B953" s="42" t="s">
        <v>1841</v>
      </c>
      <c r="C953" s="43" t="s">
        <v>1842</v>
      </c>
      <c r="D953" s="44"/>
      <c r="E953" s="62" t="s">
        <v>14</v>
      </c>
      <c r="F953" s="61" t="s">
        <v>43</v>
      </c>
      <c r="G953" s="44"/>
      <c r="H953" s="46">
        <v>58</v>
      </c>
      <c r="I953" s="47" t="s">
        <v>15</v>
      </c>
    </row>
    <row r="954" spans="1:9" ht="31.2">
      <c r="A954" s="15">
        <v>656620</v>
      </c>
      <c r="B954" s="8" t="s">
        <v>1843</v>
      </c>
      <c r="C954" s="49" t="str">
        <f>HYPERLINK("https://catalog.archives.gov/search?q=*:*&amp;f.ancestorNaIds=656620&amp;sort=naIdSort%20asc&amp;f.oldScope=online","Case Files of Investigations by Levi C. Turner and Lafayette C. Baker, 1861-1866")</f>
        <v>Case Files of Investigations by Levi C. Turner and Lafayette C. Baker, 1861-1866</v>
      </c>
      <c r="D954" s="11" t="s">
        <v>220</v>
      </c>
      <c r="E954" s="12"/>
      <c r="F954" s="12"/>
      <c r="G954" s="12"/>
      <c r="H954" s="13">
        <v>94</v>
      </c>
      <c r="I954" s="14" t="s">
        <v>18</v>
      </c>
    </row>
    <row r="955" spans="1:9" ht="46.8">
      <c r="A955" s="28" t="str">
        <f>HYPERLINK("https://catalog.archives.gov/search?q=M798&amp;f.level=series&amp;f.recordGroupNoCollectionId=105","Various")</f>
        <v>Various</v>
      </c>
      <c r="B955" s="8" t="s">
        <v>1844</v>
      </c>
      <c r="C955" s="16" t="s">
        <v>1845</v>
      </c>
      <c r="D955" s="12"/>
      <c r="E955" s="12"/>
      <c r="F955" s="11" t="s">
        <v>43</v>
      </c>
      <c r="G955" s="12"/>
      <c r="H955" s="13">
        <v>105</v>
      </c>
      <c r="I955" s="14" t="s">
        <v>15</v>
      </c>
    </row>
    <row r="956" spans="1:9" ht="140.4">
      <c r="A956" s="15" t="s">
        <v>1846</v>
      </c>
      <c r="B956" s="8" t="s">
        <v>1847</v>
      </c>
      <c r="C956" s="16" t="s">
        <v>1848</v>
      </c>
      <c r="D956" s="12"/>
      <c r="E956" s="12"/>
      <c r="F956" s="11" t="s">
        <v>43</v>
      </c>
      <c r="G956" s="12"/>
      <c r="H956" s="13">
        <v>105</v>
      </c>
      <c r="I956" s="14" t="s">
        <v>15</v>
      </c>
    </row>
    <row r="957" spans="1:9" ht="46.8">
      <c r="A957" s="28" t="str">
        <f>HYPERLINK("https://catalog.archives.gov/search?q=M803&amp;f.level=series&amp;f.recordGroupNoCollectionId=105","Various")</f>
        <v>Various</v>
      </c>
      <c r="B957" s="8" t="s">
        <v>1849</v>
      </c>
      <c r="C957" s="16" t="s">
        <v>1850</v>
      </c>
      <c r="D957" s="12"/>
      <c r="E957" s="12"/>
      <c r="F957" s="11" t="s">
        <v>43</v>
      </c>
      <c r="G957" s="12"/>
      <c r="H957" s="13">
        <v>105</v>
      </c>
      <c r="I957" s="14" t="s">
        <v>15</v>
      </c>
    </row>
    <row r="958" spans="1:9" ht="31.2">
      <c r="A958" s="15">
        <v>300022</v>
      </c>
      <c r="B958" s="8" t="s">
        <v>1851</v>
      </c>
      <c r="C958" s="35" t="s">
        <v>1852</v>
      </c>
      <c r="D958" s="17" t="s">
        <v>220</v>
      </c>
      <c r="E958" s="17" t="s">
        <v>14</v>
      </c>
      <c r="F958" s="11" t="s">
        <v>43</v>
      </c>
      <c r="G958" s="12"/>
      <c r="H958" s="13">
        <v>15</v>
      </c>
      <c r="I958" s="23" t="s">
        <v>18</v>
      </c>
    </row>
    <row r="959" spans="1:9" ht="46.8">
      <c r="A959" s="28" t="str">
        <f>HYPERLINK("https://catalog.archives.gov/search?q=M809&amp;f.level=series&amp;f.recordGroupNoCollectionId=105","Various")</f>
        <v>Various</v>
      </c>
      <c r="B959" s="8" t="s">
        <v>1853</v>
      </c>
      <c r="C959" s="16" t="s">
        <v>1854</v>
      </c>
      <c r="D959" s="12"/>
      <c r="E959" s="12"/>
      <c r="F959" s="11" t="s">
        <v>43</v>
      </c>
      <c r="G959" s="12"/>
      <c r="H959" s="13">
        <v>105</v>
      </c>
      <c r="I959" s="14" t="s">
        <v>15</v>
      </c>
    </row>
    <row r="960" spans="1:9" ht="46.8">
      <c r="A960" s="28" t="str">
        <f>HYPERLINK("https://catalog.archives.gov/search?q=M810&amp;f.level=series&amp;f.recordGroupNoCollectionId=105","Various")</f>
        <v>Various</v>
      </c>
      <c r="B960" s="8" t="s">
        <v>1855</v>
      </c>
      <c r="C960" s="16" t="s">
        <v>1856</v>
      </c>
      <c r="D960" s="12"/>
      <c r="E960" s="12"/>
      <c r="F960" s="11" t="s">
        <v>43</v>
      </c>
      <c r="G960" s="12"/>
      <c r="H960" s="13">
        <v>105</v>
      </c>
      <c r="I960" s="14" t="s">
        <v>15</v>
      </c>
    </row>
    <row r="961" spans="1:9" ht="46.8">
      <c r="A961" s="15">
        <v>566522</v>
      </c>
      <c r="B961" s="8" t="s">
        <v>1857</v>
      </c>
      <c r="C961" s="16" t="s">
        <v>1858</v>
      </c>
      <c r="D961" s="12"/>
      <c r="E961" s="17" t="s">
        <v>14</v>
      </c>
      <c r="F961" s="11" t="s">
        <v>43</v>
      </c>
      <c r="G961" s="12"/>
      <c r="H961" s="13">
        <v>101</v>
      </c>
      <c r="I961" s="14" t="s">
        <v>15</v>
      </c>
    </row>
    <row r="962" spans="1:9" ht="46.8">
      <c r="A962" s="28" t="str">
        <f>HYPERLINK("https://catalog.archives.gov/search?q=M821&amp;f.level=series&amp;f.recordGroupNoCollectionId=105","Various")</f>
        <v>Various</v>
      </c>
      <c r="B962" s="8" t="s">
        <v>1859</v>
      </c>
      <c r="C962" s="16" t="s">
        <v>1860</v>
      </c>
      <c r="D962" s="12"/>
      <c r="E962" s="12"/>
      <c r="F962" s="11" t="s">
        <v>43</v>
      </c>
      <c r="G962" s="12"/>
      <c r="H962" s="13">
        <v>105</v>
      </c>
      <c r="I962" s="14" t="s">
        <v>15</v>
      </c>
    </row>
    <row r="963" spans="1:9" ht="46.8">
      <c r="A963" s="28" t="str">
        <f>HYPERLINK("https://catalog.archives.gov/search?q=M822&amp;f.level=series&amp;f.recordGroupNoCollectionId=105","Various")</f>
        <v>Various</v>
      </c>
      <c r="B963" s="8" t="s">
        <v>1861</v>
      </c>
      <c r="C963" s="16" t="s">
        <v>1862</v>
      </c>
      <c r="D963" s="12"/>
      <c r="E963" s="12"/>
      <c r="F963" s="11" t="s">
        <v>43</v>
      </c>
      <c r="G963" s="12"/>
      <c r="H963" s="13">
        <v>105</v>
      </c>
      <c r="I963" s="14" t="s">
        <v>15</v>
      </c>
    </row>
    <row r="964" spans="1:9" ht="46.8">
      <c r="A964" s="28" t="str">
        <f>HYPERLINK("https://catalog.archives.gov/search?q=M826&amp;f.level=series&amp;f.recordGroupNoCollectionId=105","Various")</f>
        <v>Various</v>
      </c>
      <c r="B964" s="8" t="s">
        <v>1863</v>
      </c>
      <c r="C964" s="16" t="s">
        <v>1864</v>
      </c>
      <c r="D964" s="12"/>
      <c r="E964" s="12"/>
      <c r="F964" s="11" t="s">
        <v>43</v>
      </c>
      <c r="G964" s="12"/>
      <c r="H964" s="13">
        <v>105</v>
      </c>
      <c r="I964" s="14" t="s">
        <v>15</v>
      </c>
    </row>
    <row r="965" spans="1:9" ht="62.4">
      <c r="A965" s="15" t="s">
        <v>1865</v>
      </c>
      <c r="B965" s="8" t="s">
        <v>1866</v>
      </c>
      <c r="C965" s="16" t="s">
        <v>1867</v>
      </c>
      <c r="D965" s="12"/>
      <c r="E965" s="17" t="s">
        <v>14</v>
      </c>
      <c r="F965" s="12"/>
      <c r="G965" s="12"/>
      <c r="H965" s="13">
        <v>49</v>
      </c>
      <c r="I965" s="14" t="s">
        <v>15</v>
      </c>
    </row>
    <row r="966" spans="1:9" ht="31.2">
      <c r="A966" s="41" t="s">
        <v>332</v>
      </c>
      <c r="B966" s="42" t="s">
        <v>1868</v>
      </c>
      <c r="C966" s="43" t="s">
        <v>1869</v>
      </c>
      <c r="D966" s="62" t="s">
        <v>220</v>
      </c>
      <c r="E966" s="44"/>
      <c r="F966" s="44"/>
      <c r="G966" s="44"/>
      <c r="H966" s="71" t="s">
        <v>1870</v>
      </c>
      <c r="I966" s="47" t="s">
        <v>15</v>
      </c>
    </row>
    <row r="967" spans="1:9" ht="31.2">
      <c r="A967" s="15">
        <v>653994</v>
      </c>
      <c r="B967" s="8" t="s">
        <v>1871</v>
      </c>
      <c r="C967" s="35" t="s">
        <v>1872</v>
      </c>
      <c r="D967" s="11" t="s">
        <v>220</v>
      </c>
      <c r="E967" s="17" t="s">
        <v>14</v>
      </c>
      <c r="F967" s="12"/>
      <c r="G967" s="12"/>
      <c r="H967" s="13">
        <v>109</v>
      </c>
      <c r="I967" s="23" t="s">
        <v>11</v>
      </c>
    </row>
    <row r="968" spans="1:9" ht="31.2">
      <c r="A968" s="15" t="s">
        <v>1873</v>
      </c>
      <c r="B968" s="8" t="s">
        <v>1874</v>
      </c>
      <c r="C968" s="48" t="s">
        <v>1875</v>
      </c>
      <c r="D968" s="12"/>
      <c r="E968" s="17" t="s">
        <v>14</v>
      </c>
      <c r="F968" s="12"/>
      <c r="G968" s="12"/>
      <c r="H968" s="13">
        <v>28</v>
      </c>
      <c r="I968" s="23" t="s">
        <v>11</v>
      </c>
    </row>
    <row r="969" spans="1:9" ht="46.8">
      <c r="A969" s="28" t="str">
        <f>HYPERLINK("https://catalog.archives.gov/search?q=M843&amp;f.level=series&amp;f.recordGroupNoCollectionId=105","Various")</f>
        <v>Various</v>
      </c>
      <c r="B969" s="8" t="s">
        <v>1876</v>
      </c>
      <c r="C969" s="16" t="s">
        <v>1877</v>
      </c>
      <c r="D969" s="12"/>
      <c r="E969" s="12"/>
      <c r="F969" s="11" t="s">
        <v>43</v>
      </c>
      <c r="G969" s="12"/>
      <c r="H969" s="13">
        <v>105</v>
      </c>
      <c r="I969" s="14" t="s">
        <v>15</v>
      </c>
    </row>
    <row r="970" spans="1:9" ht="62.4">
      <c r="A970" s="28" t="str">
        <f>HYPERLINK("https://catalog.archives.gov/search?q=M844&amp;f.level=series&amp;f.recordGroupNoCollectionId=105","Various")</f>
        <v>Various</v>
      </c>
      <c r="B970" s="8" t="s">
        <v>1878</v>
      </c>
      <c r="C970" s="16" t="s">
        <v>1879</v>
      </c>
      <c r="D970" s="12"/>
      <c r="E970" s="12"/>
      <c r="F970" s="11" t="s">
        <v>43</v>
      </c>
      <c r="G970" s="12"/>
      <c r="H970" s="13">
        <v>105</v>
      </c>
      <c r="I970" s="14" t="s">
        <v>15</v>
      </c>
    </row>
    <row r="971" spans="1:9" ht="31.2">
      <c r="A971" s="15">
        <v>2791166</v>
      </c>
      <c r="B971" s="8" t="s">
        <v>1880</v>
      </c>
      <c r="C971" s="16" t="s">
        <v>1881</v>
      </c>
      <c r="D971" s="12"/>
      <c r="E971" s="17" t="s">
        <v>14</v>
      </c>
      <c r="F971" s="12"/>
      <c r="G971" s="12"/>
      <c r="H971" s="13">
        <v>29</v>
      </c>
      <c r="I971" s="14" t="s">
        <v>15</v>
      </c>
    </row>
    <row r="972" spans="1:9" ht="62.4">
      <c r="A972" s="15" t="s">
        <v>1882</v>
      </c>
      <c r="B972" s="8" t="s">
        <v>1883</v>
      </c>
      <c r="C972" s="16" t="s">
        <v>1884</v>
      </c>
      <c r="D972" s="12"/>
      <c r="E972" s="17" t="s">
        <v>14</v>
      </c>
      <c r="F972" s="12"/>
      <c r="G972" s="12"/>
      <c r="H972" s="13">
        <v>49</v>
      </c>
      <c r="I972" s="14" t="s">
        <v>15</v>
      </c>
    </row>
    <row r="973" spans="1:9" ht="31.2">
      <c r="A973" s="7">
        <v>49736856</v>
      </c>
      <c r="B973" s="8" t="s">
        <v>1885</v>
      </c>
      <c r="C973" s="16" t="s">
        <v>1886</v>
      </c>
      <c r="D973" s="12"/>
      <c r="E973" s="12"/>
      <c r="F973" s="11" t="s">
        <v>43</v>
      </c>
      <c r="G973" s="12"/>
      <c r="H973" s="13">
        <v>15</v>
      </c>
      <c r="I973" s="14" t="s">
        <v>15</v>
      </c>
    </row>
    <row r="974" spans="1:9" ht="62.4">
      <c r="A974" s="15" t="s">
        <v>1887</v>
      </c>
      <c r="B974" s="8" t="s">
        <v>1888</v>
      </c>
      <c r="C974" s="35" t="s">
        <v>1889</v>
      </c>
      <c r="D974" s="11" t="s">
        <v>220</v>
      </c>
      <c r="E974" s="12"/>
      <c r="F974" s="12"/>
      <c r="G974" s="12"/>
      <c r="H974" s="13">
        <v>93</v>
      </c>
      <c r="I974" s="23" t="s">
        <v>11</v>
      </c>
    </row>
    <row r="975" spans="1:9" ht="62.4">
      <c r="A975" s="15">
        <v>598197</v>
      </c>
      <c r="B975" s="8" t="s">
        <v>1890</v>
      </c>
      <c r="C975" s="16" t="s">
        <v>1891</v>
      </c>
      <c r="D975" s="11" t="s">
        <v>220</v>
      </c>
      <c r="E975" s="17" t="s">
        <v>14</v>
      </c>
      <c r="F975" s="12"/>
      <c r="G975" s="12"/>
      <c r="H975" s="13">
        <v>93</v>
      </c>
      <c r="I975" s="14" t="s">
        <v>15</v>
      </c>
    </row>
    <row r="976" spans="1:9" ht="46.8">
      <c r="A976" s="15">
        <v>654520</v>
      </c>
      <c r="B976" s="8" t="s">
        <v>1892</v>
      </c>
      <c r="C976" s="49" t="str">
        <f>HYPERLINK("https://catalog.archives.gov/search?q=M863&amp;f.ancestorNaIds=654520","Compiled Service Records of Volunteer Soldiers Who Served During the Mexican War From the State of Mississippi")</f>
        <v>Compiled Service Records of Volunteer Soldiers Who Served During the Mexican War From the State of Mississippi</v>
      </c>
      <c r="D976" s="11" t="s">
        <v>220</v>
      </c>
      <c r="E976" s="17" t="s">
        <v>14</v>
      </c>
      <c r="F976" s="11" t="s">
        <v>43</v>
      </c>
      <c r="G976" s="12"/>
      <c r="H976" s="13">
        <v>94</v>
      </c>
      <c r="I976" s="23" t="s">
        <v>11</v>
      </c>
    </row>
    <row r="977" spans="1:9" ht="31.2">
      <c r="A977" s="41" t="s">
        <v>332</v>
      </c>
      <c r="B977" s="42" t="s">
        <v>1893</v>
      </c>
      <c r="C977" s="43" t="s">
        <v>1894</v>
      </c>
      <c r="D977" s="62" t="s">
        <v>220</v>
      </c>
      <c r="E977" s="44"/>
      <c r="F977" s="44"/>
      <c r="G977" s="44"/>
      <c r="H977" s="71" t="s">
        <v>1870</v>
      </c>
      <c r="I977" s="47" t="s">
        <v>15</v>
      </c>
    </row>
    <row r="978" spans="1:9" ht="31.2">
      <c r="A978" s="15">
        <v>301679</v>
      </c>
      <c r="B978" s="8" t="s">
        <v>1895</v>
      </c>
      <c r="C978" s="16" t="s">
        <v>1896</v>
      </c>
      <c r="D978" s="17" t="s">
        <v>220</v>
      </c>
      <c r="E978" s="12"/>
      <c r="F978" s="12"/>
      <c r="G978" s="12"/>
      <c r="H978" s="13">
        <v>360</v>
      </c>
      <c r="I978" s="14" t="s">
        <v>15</v>
      </c>
    </row>
    <row r="979" spans="1:9" ht="31.2">
      <c r="A979" s="41" t="s">
        <v>332</v>
      </c>
      <c r="B979" s="42" t="s">
        <v>1897</v>
      </c>
      <c r="C979" s="43" t="s">
        <v>1898</v>
      </c>
      <c r="D979" s="62" t="s">
        <v>220</v>
      </c>
      <c r="E979" s="44"/>
      <c r="F979" s="44"/>
      <c r="G979" s="44"/>
      <c r="H979" s="71" t="s">
        <v>1870</v>
      </c>
      <c r="I979" s="47" t="s">
        <v>15</v>
      </c>
    </row>
    <row r="980" spans="1:9" ht="31.2">
      <c r="A980" s="41" t="s">
        <v>332</v>
      </c>
      <c r="B980" s="42" t="s">
        <v>1899</v>
      </c>
      <c r="C980" s="43" t="s">
        <v>1900</v>
      </c>
      <c r="D980" s="62" t="s">
        <v>220</v>
      </c>
      <c r="E980" s="44"/>
      <c r="F980" s="44"/>
      <c r="G980" s="44"/>
      <c r="H980" s="71" t="s">
        <v>1870</v>
      </c>
      <c r="I980" s="47" t="s">
        <v>15</v>
      </c>
    </row>
    <row r="981" spans="1:9" ht="46.8">
      <c r="A981" s="28" t="str">
        <f>HYPERLINK("https://catalog.archives.gov/search?q=M869&amp;f.level=series&amp;f.recordGroupNoCollectionId=105","Various")</f>
        <v>Various</v>
      </c>
      <c r="B981" s="8" t="s">
        <v>1901</v>
      </c>
      <c r="C981" s="16" t="s">
        <v>1902</v>
      </c>
      <c r="D981" s="12"/>
      <c r="E981" s="12"/>
      <c r="F981" s="11" t="s">
        <v>43</v>
      </c>
      <c r="G981" s="12"/>
      <c r="H981" s="13">
        <v>105</v>
      </c>
      <c r="I981" s="14" t="s">
        <v>15</v>
      </c>
    </row>
    <row r="982" spans="1:9" ht="46.8">
      <c r="A982" s="15">
        <v>654543</v>
      </c>
      <c r="B982" s="8" t="s">
        <v>1903</v>
      </c>
      <c r="C982" s="35" t="s">
        <v>1904</v>
      </c>
      <c r="D982" s="11" t="s">
        <v>220</v>
      </c>
      <c r="E982" s="17" t="s">
        <v>14</v>
      </c>
      <c r="F982" s="11" t="s">
        <v>43</v>
      </c>
      <c r="G982" s="12"/>
      <c r="H982" s="13">
        <v>94</v>
      </c>
      <c r="I982" s="23" t="s">
        <v>11</v>
      </c>
    </row>
    <row r="983" spans="1:9" ht="78">
      <c r="A983" s="15">
        <v>572134</v>
      </c>
      <c r="B983" s="8" t="s">
        <v>1905</v>
      </c>
      <c r="C983" s="35" t="s">
        <v>1906</v>
      </c>
      <c r="D983" s="11" t="s">
        <v>220</v>
      </c>
      <c r="E983" s="17" t="s">
        <v>14</v>
      </c>
      <c r="F983" s="12"/>
      <c r="G983" s="12"/>
      <c r="H983" s="13">
        <v>93</v>
      </c>
      <c r="I983" s="23" t="s">
        <v>11</v>
      </c>
    </row>
    <row r="984" spans="1:9" ht="46.8">
      <c r="A984" s="15">
        <v>570910</v>
      </c>
      <c r="B984" s="8" t="s">
        <v>1907</v>
      </c>
      <c r="C984" s="35" t="s">
        <v>1908</v>
      </c>
      <c r="D984" s="11" t="str">
        <f>HYPERLINK("https://www.fold3.com/title/470/revolutionary-war-service-records","Fold3.com")</f>
        <v>Fold3.com</v>
      </c>
      <c r="E984" s="17" t="s">
        <v>14</v>
      </c>
      <c r="F984" s="11" t="s">
        <v>43</v>
      </c>
      <c r="G984" s="12"/>
      <c r="H984" s="13">
        <v>93</v>
      </c>
      <c r="I984" s="23" t="s">
        <v>11</v>
      </c>
    </row>
    <row r="985" spans="1:9" ht="31.2">
      <c r="A985" s="15">
        <v>278376</v>
      </c>
      <c r="B985" s="8" t="s">
        <v>1909</v>
      </c>
      <c r="C985" s="16" t="s">
        <v>1910</v>
      </c>
      <c r="D985" s="12"/>
      <c r="E985" s="17" t="s">
        <v>14</v>
      </c>
      <c r="F985" s="12"/>
      <c r="G985" s="12"/>
      <c r="H985" s="13">
        <v>21</v>
      </c>
      <c r="I985" s="14" t="s">
        <v>15</v>
      </c>
    </row>
    <row r="986" spans="1:9" ht="31.2">
      <c r="A986" s="41" t="s">
        <v>332</v>
      </c>
      <c r="B986" s="42" t="s">
        <v>1911</v>
      </c>
      <c r="C986" s="43" t="s">
        <v>1912</v>
      </c>
      <c r="D986" s="61" t="s">
        <v>220</v>
      </c>
      <c r="E986" s="44"/>
      <c r="F986" s="44"/>
      <c r="G986" s="44"/>
      <c r="H986" s="46">
        <v>109</v>
      </c>
      <c r="I986" s="47" t="s">
        <v>15</v>
      </c>
    </row>
    <row r="987" spans="1:9" ht="78">
      <c r="A987" s="15">
        <v>654491</v>
      </c>
      <c r="B987" s="8" t="s">
        <v>1913</v>
      </c>
      <c r="C987" s="35" t="s">
        <v>1914</v>
      </c>
      <c r="D987" s="11" t="s">
        <v>220</v>
      </c>
      <c r="E987" s="17" t="s">
        <v>14</v>
      </c>
      <c r="F987" s="12"/>
      <c r="G987" s="12"/>
      <c r="H987" s="13">
        <v>94</v>
      </c>
      <c r="I987" s="23" t="s">
        <v>18</v>
      </c>
    </row>
    <row r="988" spans="1:9" ht="62.4">
      <c r="A988" s="15">
        <v>654513</v>
      </c>
      <c r="B988" s="8" t="s">
        <v>1915</v>
      </c>
      <c r="C988" s="16" t="s">
        <v>1916</v>
      </c>
      <c r="D988" s="12"/>
      <c r="E988" s="17" t="s">
        <v>14</v>
      </c>
      <c r="F988" s="12"/>
      <c r="G988" s="12"/>
      <c r="H988" s="13">
        <v>94</v>
      </c>
      <c r="I988" s="14" t="s">
        <v>15</v>
      </c>
    </row>
    <row r="989" spans="1:9" ht="78">
      <c r="A989" s="15">
        <v>654513</v>
      </c>
      <c r="B989" s="8" t="s">
        <v>1917</v>
      </c>
      <c r="C989" s="16" t="s">
        <v>1918</v>
      </c>
      <c r="D989" s="12"/>
      <c r="E989" s="17" t="s">
        <v>14</v>
      </c>
      <c r="F989" s="12"/>
      <c r="G989" s="12"/>
      <c r="H989" s="13">
        <v>94</v>
      </c>
      <c r="I989" s="14" t="s">
        <v>15</v>
      </c>
    </row>
    <row r="990" spans="1:9" ht="31.2">
      <c r="A990" s="15">
        <v>2601035</v>
      </c>
      <c r="B990" s="8" t="s">
        <v>1919</v>
      </c>
      <c r="C990" s="16" t="s">
        <v>1920</v>
      </c>
      <c r="D990" s="12"/>
      <c r="E990" s="12"/>
      <c r="F990" s="11" t="s">
        <v>43</v>
      </c>
      <c r="G990" s="12"/>
      <c r="H990" s="13">
        <v>15</v>
      </c>
      <c r="I990" s="14" t="s">
        <v>15</v>
      </c>
    </row>
    <row r="991" spans="1:9" ht="46.8">
      <c r="A991" s="15">
        <v>617202</v>
      </c>
      <c r="B991" s="8" t="s">
        <v>1921</v>
      </c>
      <c r="C991" s="16" t="s">
        <v>1922</v>
      </c>
      <c r="D991" s="12"/>
      <c r="E991" s="12"/>
      <c r="F991" s="11" t="s">
        <v>43</v>
      </c>
      <c r="G991" s="12"/>
      <c r="H991" s="13">
        <v>92</v>
      </c>
      <c r="I991" s="14" t="s">
        <v>15</v>
      </c>
    </row>
    <row r="992" spans="1:9" ht="31.2">
      <c r="A992" s="15">
        <v>649653</v>
      </c>
      <c r="B992" s="8" t="s">
        <v>1923</v>
      </c>
      <c r="C992" s="16" t="s">
        <v>1924</v>
      </c>
      <c r="D992" s="17" t="s">
        <v>220</v>
      </c>
      <c r="E992" s="12"/>
      <c r="F992" s="12"/>
      <c r="G992" s="12"/>
      <c r="H992" s="13">
        <v>120</v>
      </c>
      <c r="I992" s="14" t="s">
        <v>15</v>
      </c>
    </row>
    <row r="993" spans="1:9" ht="31.2">
      <c r="A993" s="15">
        <v>649600</v>
      </c>
      <c r="B993" s="8" t="s">
        <v>1925</v>
      </c>
      <c r="C993" s="16" t="s">
        <v>1926</v>
      </c>
      <c r="D993" s="17" t="s">
        <v>220</v>
      </c>
      <c r="E993" s="12"/>
      <c r="F993" s="12"/>
      <c r="G993" s="12"/>
      <c r="H993" s="13">
        <v>120</v>
      </c>
      <c r="I993" s="14" t="s">
        <v>15</v>
      </c>
    </row>
    <row r="994" spans="1:9" ht="46.8">
      <c r="A994" s="15">
        <v>620323</v>
      </c>
      <c r="B994" s="8" t="s">
        <v>1927</v>
      </c>
      <c r="C994" s="16" t="s">
        <v>1928</v>
      </c>
      <c r="D994" s="17" t="s">
        <v>220</v>
      </c>
      <c r="E994" s="12"/>
      <c r="F994" s="12"/>
      <c r="G994" s="12"/>
      <c r="H994" s="13">
        <v>21</v>
      </c>
      <c r="I994" s="14" t="s">
        <v>15</v>
      </c>
    </row>
    <row r="995" spans="1:9" ht="46.8">
      <c r="A995" s="15">
        <v>6704756</v>
      </c>
      <c r="B995" s="8" t="s">
        <v>1929</v>
      </c>
      <c r="C995" s="16" t="s">
        <v>1930</v>
      </c>
      <c r="D995" s="11" t="str">
        <f>HYPERLINK("https://www.fold3.com/title/487/wwi-military-cablegrams-aef-and-war-dept","Fold3.com")</f>
        <v>Fold3.com</v>
      </c>
      <c r="E995" s="12"/>
      <c r="F995" s="12"/>
      <c r="G995" s="12"/>
      <c r="H995" s="13">
        <v>120</v>
      </c>
      <c r="I995" s="14" t="s">
        <v>15</v>
      </c>
    </row>
    <row r="996" spans="1:9" ht="46.8">
      <c r="A996" s="28" t="str">
        <f>HYPERLINK("https://catalog.archives.gov/search?q=M979&amp;f.level=series&amp;f.recordGroupNoCollectionId=105","Various")</f>
        <v>Various</v>
      </c>
      <c r="B996" s="8" t="s">
        <v>1931</v>
      </c>
      <c r="C996" s="16" t="s">
        <v>1932</v>
      </c>
      <c r="D996" s="12"/>
      <c r="E996" s="12"/>
      <c r="F996" s="11" t="s">
        <v>43</v>
      </c>
      <c r="G996" s="12"/>
      <c r="H996" s="13">
        <v>105</v>
      </c>
      <c r="I996" s="14" t="s">
        <v>15</v>
      </c>
    </row>
    <row r="997" spans="1:9" ht="124.8">
      <c r="A997" s="15" t="s">
        <v>1933</v>
      </c>
      <c r="B997" s="8" t="s">
        <v>1934</v>
      </c>
      <c r="C997" s="16" t="s">
        <v>1935</v>
      </c>
      <c r="D997" s="12"/>
      <c r="E997" s="12"/>
      <c r="F997" s="11" t="s">
        <v>43</v>
      </c>
      <c r="G997" s="12"/>
      <c r="H997" s="13">
        <v>105</v>
      </c>
      <c r="I997" s="14" t="s">
        <v>15</v>
      </c>
    </row>
    <row r="998" spans="1:9" ht="46.8">
      <c r="A998" s="15">
        <v>278938</v>
      </c>
      <c r="B998" s="8" t="s">
        <v>1936</v>
      </c>
      <c r="C998" s="16" t="s">
        <v>1937</v>
      </c>
      <c r="D998" s="12"/>
      <c r="E998" s="17" t="s">
        <v>14</v>
      </c>
      <c r="F998" s="12"/>
      <c r="G998" s="12"/>
      <c r="H998" s="13">
        <v>21</v>
      </c>
      <c r="I998" s="14" t="s">
        <v>15</v>
      </c>
    </row>
    <row r="999" spans="1:9" ht="31.2">
      <c r="A999" s="15">
        <v>631392</v>
      </c>
      <c r="B999" s="8" t="s">
        <v>1938</v>
      </c>
      <c r="C999" s="16" t="s">
        <v>1939</v>
      </c>
      <c r="D999" s="17" t="s">
        <v>220</v>
      </c>
      <c r="E999" s="12"/>
      <c r="F999" s="12"/>
      <c r="G999" s="12"/>
      <c r="H999" s="13">
        <v>120</v>
      </c>
      <c r="I999" s="14" t="s">
        <v>15</v>
      </c>
    </row>
    <row r="1000" spans="1:9" ht="62.4">
      <c r="A1000" s="15" t="s">
        <v>1940</v>
      </c>
      <c r="B1000" s="8" t="s">
        <v>1941</v>
      </c>
      <c r="C1000" s="16" t="s">
        <v>1942</v>
      </c>
      <c r="D1000" s="12"/>
      <c r="E1000" s="17" t="s">
        <v>14</v>
      </c>
      <c r="F1000" s="12"/>
      <c r="G1000" s="12"/>
      <c r="H1000" s="13">
        <v>405</v>
      </c>
      <c r="I1000" s="14" t="s">
        <v>15</v>
      </c>
    </row>
    <row r="1001" spans="1:9" ht="46.8">
      <c r="A1001" s="15">
        <v>956350</v>
      </c>
      <c r="B1001" s="8" t="s">
        <v>1943</v>
      </c>
      <c r="C1001" s="16" t="s">
        <v>1944</v>
      </c>
      <c r="D1001" s="17" t="s">
        <v>220</v>
      </c>
      <c r="E1001" s="12"/>
      <c r="F1001" s="12"/>
      <c r="G1001" s="12"/>
      <c r="H1001" s="13">
        <v>165</v>
      </c>
      <c r="I1001" s="14" t="s">
        <v>15</v>
      </c>
    </row>
    <row r="1002" spans="1:9" ht="46.8">
      <c r="A1002" s="28" t="str">
        <f>HYPERLINK("https://catalog.archives.gov/search?q=M999&amp;f.level=series&amp;f.recordGroupNoCollectionId=105","Various")</f>
        <v>Various</v>
      </c>
      <c r="B1002" s="8" t="s">
        <v>1945</v>
      </c>
      <c r="C1002" s="16" t="s">
        <v>1946</v>
      </c>
      <c r="D1002" s="12"/>
      <c r="E1002" s="12"/>
      <c r="F1002" s="11" t="s">
        <v>43</v>
      </c>
      <c r="G1002" s="12"/>
      <c r="H1002" s="13">
        <v>105</v>
      </c>
      <c r="I1002" s="14" t="s">
        <v>15</v>
      </c>
    </row>
    <row r="1003" spans="1:9" ht="171.6">
      <c r="A1003" s="15" t="s">
        <v>1947</v>
      </c>
      <c r="B1003" s="8" t="s">
        <v>1948</v>
      </c>
      <c r="C1003" s="16" t="s">
        <v>1949</v>
      </c>
      <c r="D1003" s="12"/>
      <c r="E1003" s="12"/>
      <c r="F1003" s="11" t="s">
        <v>43</v>
      </c>
      <c r="G1003" s="12"/>
      <c r="H1003" s="13">
        <v>105</v>
      </c>
      <c r="I1003" s="14" t="s">
        <v>15</v>
      </c>
    </row>
    <row r="1004" spans="1:9" ht="46.8">
      <c r="A1004" s="15">
        <v>656621</v>
      </c>
      <c r="B1004" s="8" t="s">
        <v>1950</v>
      </c>
      <c r="C1004" s="35" t="s">
        <v>1951</v>
      </c>
      <c r="D1004" s="11" t="s">
        <v>220</v>
      </c>
      <c r="E1004" s="17" t="s">
        <v>14</v>
      </c>
      <c r="F1004" s="11" t="s">
        <v>43</v>
      </c>
      <c r="G1004" s="12"/>
      <c r="H1004" s="13">
        <v>94</v>
      </c>
      <c r="I1004" s="23" t="s">
        <v>11</v>
      </c>
    </row>
    <row r="1005" spans="1:9" ht="62.4">
      <c r="A1005" s="15">
        <v>300398</v>
      </c>
      <c r="B1005" s="8" t="s">
        <v>1952</v>
      </c>
      <c r="C1005" s="16" t="s">
        <v>1953</v>
      </c>
      <c r="D1005" s="28" t="str">
        <f>HYPERLINK("https://www.fold3.com/title/45/civil-war-soldiers-union-csa","Fold3.com")</f>
        <v>Fold3.com</v>
      </c>
      <c r="E1005" s="17" t="s">
        <v>14</v>
      </c>
      <c r="F1005" s="18" t="s">
        <v>43</v>
      </c>
      <c r="G1005" s="12"/>
      <c r="H1005" s="13">
        <v>94</v>
      </c>
      <c r="I1005" s="14" t="s">
        <v>15</v>
      </c>
    </row>
    <row r="1006" spans="1:9" ht="46.8">
      <c r="A1006" s="28" t="str">
        <f>HYPERLINK("https://catalog.archives.gov/search?q=M1026&amp;f.level=series&amp;f.recordGroupNoCollectionId=105","Various")</f>
        <v>Various</v>
      </c>
      <c r="B1006" s="8" t="s">
        <v>1954</v>
      </c>
      <c r="C1006" s="16" t="s">
        <v>1955</v>
      </c>
      <c r="D1006" s="12"/>
      <c r="E1006" s="12"/>
      <c r="F1006" s="11" t="s">
        <v>43</v>
      </c>
      <c r="G1006" s="12"/>
      <c r="H1006" s="13">
        <v>105</v>
      </c>
      <c r="I1006" s="14" t="s">
        <v>15</v>
      </c>
    </row>
    <row r="1007" spans="1:9" ht="62.4">
      <c r="A1007" s="28" t="str">
        <f>HYPERLINK("https://catalog.archives.gov/search?q=M1027&amp;f.level=series&amp;f.recordGroupNoCollectionId=105","Various")</f>
        <v>Various</v>
      </c>
      <c r="B1007" s="8" t="s">
        <v>1956</v>
      </c>
      <c r="C1007" s="16" t="s">
        <v>1957</v>
      </c>
      <c r="D1007" s="12"/>
      <c r="E1007" s="12"/>
      <c r="F1007" s="11" t="s">
        <v>43</v>
      </c>
      <c r="G1007" s="12"/>
      <c r="H1007" s="13">
        <v>105</v>
      </c>
      <c r="I1007" s="14" t="s">
        <v>15</v>
      </c>
    </row>
    <row r="1008" spans="1:9" ht="46.8">
      <c r="A1008" s="15">
        <v>654520</v>
      </c>
      <c r="B1008" s="8" t="s">
        <v>1958</v>
      </c>
      <c r="C1008" s="35" t="s">
        <v>1959</v>
      </c>
      <c r="D1008" s="11" t="s">
        <v>220</v>
      </c>
      <c r="E1008" s="17" t="s">
        <v>14</v>
      </c>
      <c r="F1008" s="11" t="s">
        <v>43</v>
      </c>
      <c r="G1008" s="12"/>
      <c r="H1008" s="13">
        <v>94</v>
      </c>
      <c r="I1008" s="23" t="s">
        <v>11</v>
      </c>
    </row>
    <row r="1009" spans="1:9" ht="93.6">
      <c r="A1009" s="15" t="s">
        <v>1960</v>
      </c>
      <c r="B1009" s="8" t="s">
        <v>1961</v>
      </c>
      <c r="C1009" s="49" t="str">
        <f>HYPERLINK("https://catalog.archives.gov/search?q=USS%20Constitution&amp;f.ancestorNaIds=581208","Logbooks and Journals of the U.S.S. Constitution, 1798-1934.")</f>
        <v>Logbooks and Journals of the U.S.S. Constitution, 1798-1934.</v>
      </c>
      <c r="D1009" s="11"/>
      <c r="E1009" s="11"/>
      <c r="F1009" s="12"/>
      <c r="G1009" s="60" t="str">
        <f>HYPERLINK("https://www.pmel.noaa.gov/rediscover/","National Oceanic and Atmospheric Administration (NOAA)")</f>
        <v>National Oceanic and Atmospheric Administration (NOAA)</v>
      </c>
      <c r="H1009" s="13" t="s">
        <v>1962</v>
      </c>
      <c r="I1009" s="23" t="s">
        <v>18</v>
      </c>
    </row>
    <row r="1010" spans="1:9" ht="31.2">
      <c r="A1010" s="15">
        <v>580687</v>
      </c>
      <c r="B1010" s="8" t="s">
        <v>1963</v>
      </c>
      <c r="C1010" s="16" t="s">
        <v>1964</v>
      </c>
      <c r="D1010" s="11" t="str">
        <f>HYPERLINK("https://www.fold3.com/title/490/wwii-foreign-military-studies-1945-54","Fold3.com")</f>
        <v>Fold3.com</v>
      </c>
      <c r="E1010" s="12"/>
      <c r="F1010" s="12"/>
      <c r="G1010" s="12"/>
      <c r="H1010" s="13">
        <v>338</v>
      </c>
      <c r="I1010" s="14" t="s">
        <v>15</v>
      </c>
    </row>
    <row r="1011" spans="1:9" ht="46.8">
      <c r="A1011" s="28" t="str">
        <f>HYPERLINK("https://catalog.archives.gov/search?q=M1048&amp;f.level=series&amp;f.recordGroupNoCollectionId=105","Various")</f>
        <v>Various</v>
      </c>
      <c r="B1011" s="8" t="s">
        <v>1965</v>
      </c>
      <c r="C1011" s="16" t="s">
        <v>1966</v>
      </c>
      <c r="D1011" s="12"/>
      <c r="E1011" s="12"/>
      <c r="F1011" s="11" t="s">
        <v>43</v>
      </c>
      <c r="G1011" s="12"/>
      <c r="H1011" s="13">
        <v>105</v>
      </c>
      <c r="I1011" s="14" t="s">
        <v>15</v>
      </c>
    </row>
    <row r="1012" spans="1:9" ht="46.8">
      <c r="A1012" s="28" t="str">
        <f>HYPERLINK("https://catalog.archives.gov/search?q=M1053&amp;f.level=series&amp;f.recordGroupNoCollectionId=105","Various")</f>
        <v>Various</v>
      </c>
      <c r="B1012" s="8" t="s">
        <v>1967</v>
      </c>
      <c r="C1012" s="16" t="s">
        <v>1968</v>
      </c>
      <c r="D1012" s="12"/>
      <c r="E1012" s="12"/>
      <c r="F1012" s="11" t="s">
        <v>43</v>
      </c>
      <c r="G1012" s="12"/>
      <c r="H1012" s="13">
        <v>105</v>
      </c>
      <c r="I1012" s="14" t="s">
        <v>15</v>
      </c>
    </row>
    <row r="1013" spans="1:9" ht="62.4">
      <c r="A1013" s="28" t="str">
        <f>HYPERLINK("https://catalog.archives.gov/search?q=M1055&amp;f.level=series&amp;f.recordGroupNoCollectionId=105","Various")</f>
        <v>Various</v>
      </c>
      <c r="B1013" s="8" t="s">
        <v>1969</v>
      </c>
      <c r="C1013" s="16" t="s">
        <v>1970</v>
      </c>
      <c r="D1013" s="12"/>
      <c r="E1013" s="12"/>
      <c r="F1013" s="11" t="s">
        <v>43</v>
      </c>
      <c r="G1013" s="12"/>
      <c r="H1013" s="13">
        <v>105</v>
      </c>
      <c r="I1013" s="14" t="s">
        <v>15</v>
      </c>
    </row>
    <row r="1014" spans="1:9" ht="62.4">
      <c r="A1014" s="28" t="str">
        <f>HYPERLINK("https://catalog.archives.gov/search?q=M1056&amp;f.level=series&amp;f.recordGroupNoCollectionId=105","Various")</f>
        <v>Various</v>
      </c>
      <c r="B1014" s="8" t="s">
        <v>1971</v>
      </c>
      <c r="C1014" s="16" t="s">
        <v>1972</v>
      </c>
      <c r="D1014" s="12"/>
      <c r="E1014" s="12"/>
      <c r="F1014" s="11" t="s">
        <v>43</v>
      </c>
      <c r="G1014" s="12"/>
      <c r="H1014" s="13">
        <v>105</v>
      </c>
      <c r="I1014" s="14" t="s">
        <v>15</v>
      </c>
    </row>
    <row r="1015" spans="1:9" ht="31.2">
      <c r="A1015" s="15">
        <v>300360</v>
      </c>
      <c r="B1015" s="8" t="s">
        <v>1973</v>
      </c>
      <c r="C1015" s="35" t="s">
        <v>1974</v>
      </c>
      <c r="D1015" s="11" t="s">
        <v>220</v>
      </c>
      <c r="E1015" s="12"/>
      <c r="F1015" s="12"/>
      <c r="G1015" s="12"/>
      <c r="H1015" s="13">
        <v>94</v>
      </c>
      <c r="I1015" s="23" t="s">
        <v>18</v>
      </c>
    </row>
    <row r="1016" spans="1:9" ht="31.2">
      <c r="A1016" s="15">
        <v>833644</v>
      </c>
      <c r="B1016" s="8" t="s">
        <v>1975</v>
      </c>
      <c r="C1016" s="16" t="s">
        <v>1976</v>
      </c>
      <c r="D1016" s="17" t="s">
        <v>220</v>
      </c>
      <c r="E1016" s="12"/>
      <c r="F1016" s="12"/>
      <c r="G1016" s="12"/>
      <c r="H1016" s="13">
        <v>65</v>
      </c>
      <c r="I1016" s="14" t="s">
        <v>15</v>
      </c>
    </row>
    <row r="1017" spans="1:9" ht="62.4">
      <c r="A1017" s="15">
        <v>300395</v>
      </c>
      <c r="B1017" s="8" t="s">
        <v>1977</v>
      </c>
      <c r="C1017" s="48" t="s">
        <v>1978</v>
      </c>
      <c r="D1017" s="12"/>
      <c r="E1017" s="17" t="s">
        <v>14</v>
      </c>
      <c r="F1017" s="12"/>
      <c r="G1017" s="12"/>
      <c r="H1017" s="13">
        <v>94</v>
      </c>
      <c r="I1017" s="23" t="s">
        <v>11</v>
      </c>
    </row>
    <row r="1018" spans="1:9" ht="46.8">
      <c r="A1018" s="15">
        <v>300400</v>
      </c>
      <c r="B1018" s="8" t="s">
        <v>1979</v>
      </c>
      <c r="C1018" s="35" t="s">
        <v>1980</v>
      </c>
      <c r="D1018" s="11" t="s">
        <v>220</v>
      </c>
      <c r="E1018" s="17" t="s">
        <v>14</v>
      </c>
      <c r="F1018" s="12"/>
      <c r="G1018" s="12"/>
      <c r="H1018" s="13">
        <v>94</v>
      </c>
      <c r="I1018" s="23" t="s">
        <v>11</v>
      </c>
    </row>
    <row r="1019" spans="1:9" ht="31.2">
      <c r="A1019" s="15">
        <v>1756242</v>
      </c>
      <c r="B1019" s="8" t="s">
        <v>1981</v>
      </c>
      <c r="C1019" s="35" t="s">
        <v>1982</v>
      </c>
      <c r="D1019" s="11" t="s">
        <v>220</v>
      </c>
      <c r="E1019" s="12"/>
      <c r="F1019" s="12"/>
      <c r="G1019" s="12"/>
      <c r="H1019" s="13">
        <v>45</v>
      </c>
      <c r="I1019" s="23" t="s">
        <v>11</v>
      </c>
    </row>
    <row r="1020" spans="1:9" ht="15.6">
      <c r="A1020" s="15">
        <v>2110769</v>
      </c>
      <c r="B1020" s="8" t="s">
        <v>1983</v>
      </c>
      <c r="C1020" s="35" t="s">
        <v>1984</v>
      </c>
      <c r="D1020" s="17" t="s">
        <v>220</v>
      </c>
      <c r="E1020" s="12"/>
      <c r="F1020" s="12"/>
      <c r="G1020" s="12"/>
      <c r="H1020" s="20">
        <v>123</v>
      </c>
      <c r="I1020" s="23" t="s">
        <v>11</v>
      </c>
    </row>
    <row r="1021" spans="1:9" ht="46.8">
      <c r="A1021" s="15" t="s">
        <v>1985</v>
      </c>
      <c r="B1021" s="8" t="s">
        <v>1986</v>
      </c>
      <c r="C1021" s="35" t="s">
        <v>1987</v>
      </c>
      <c r="D1021" s="11" t="s">
        <v>220</v>
      </c>
      <c r="E1021" s="12"/>
      <c r="F1021" s="12"/>
      <c r="G1021" s="12"/>
      <c r="H1021" s="13">
        <v>80</v>
      </c>
      <c r="I1021" s="23" t="s">
        <v>11</v>
      </c>
    </row>
    <row r="1022" spans="1:9" ht="46.8">
      <c r="A1022" s="15" t="s">
        <v>1988</v>
      </c>
      <c r="B1022" s="8" t="s">
        <v>1989</v>
      </c>
      <c r="C1022" s="35" t="s">
        <v>1990</v>
      </c>
      <c r="D1022" s="12"/>
      <c r="E1022" s="17" t="s">
        <v>14</v>
      </c>
      <c r="F1022" s="11" t="s">
        <v>43</v>
      </c>
      <c r="G1022" s="12"/>
      <c r="H1022" s="13">
        <v>85</v>
      </c>
      <c r="I1022" s="23" t="s">
        <v>11</v>
      </c>
    </row>
    <row r="1023" spans="1:9" ht="31.2">
      <c r="A1023" s="15">
        <v>518207</v>
      </c>
      <c r="B1023" s="8" t="s">
        <v>1991</v>
      </c>
      <c r="C1023" s="35" t="s">
        <v>1992</v>
      </c>
      <c r="D1023" s="17" t="s">
        <v>220</v>
      </c>
      <c r="E1023" s="12"/>
      <c r="F1023" s="12"/>
      <c r="G1023" s="12"/>
      <c r="H1023" s="13">
        <v>66</v>
      </c>
      <c r="I1023" s="23" t="s">
        <v>11</v>
      </c>
    </row>
    <row r="1024" spans="1:9" ht="31.2">
      <c r="A1024" s="15">
        <v>513072</v>
      </c>
      <c r="B1024" s="8" t="s">
        <v>1993</v>
      </c>
      <c r="C1024" s="16" t="s">
        <v>1994</v>
      </c>
      <c r="D1024" s="12"/>
      <c r="E1024" s="17" t="s">
        <v>14</v>
      </c>
      <c r="F1024" s="12"/>
      <c r="G1024" s="12"/>
      <c r="H1024" s="13">
        <v>19</v>
      </c>
      <c r="I1024" s="14" t="s">
        <v>15</v>
      </c>
    </row>
    <row r="1025" spans="1:9" ht="46.8">
      <c r="A1025" s="15">
        <v>71962618</v>
      </c>
      <c r="B1025" s="8" t="s">
        <v>1995</v>
      </c>
      <c r="C1025" s="35" t="s">
        <v>1996</v>
      </c>
      <c r="D1025" s="11" t="s">
        <v>1997</v>
      </c>
      <c r="E1025" s="17" t="s">
        <v>14</v>
      </c>
      <c r="F1025" s="11" t="s">
        <v>43</v>
      </c>
      <c r="G1025" s="11" t="s">
        <v>1998</v>
      </c>
      <c r="H1025" s="13">
        <v>21</v>
      </c>
      <c r="I1025" s="23" t="s">
        <v>18</v>
      </c>
    </row>
    <row r="1026" spans="1:9" ht="46.8">
      <c r="A1026" s="7">
        <v>3060164</v>
      </c>
      <c r="B1026" s="8" t="s">
        <v>1999</v>
      </c>
      <c r="C1026" s="16" t="s">
        <v>2000</v>
      </c>
      <c r="D1026" s="17" t="s">
        <v>220</v>
      </c>
      <c r="E1026" s="17" t="s">
        <v>14</v>
      </c>
      <c r="F1026" s="11" t="s">
        <v>1489</v>
      </c>
      <c r="G1026" s="12"/>
      <c r="H1026" s="13">
        <v>21</v>
      </c>
      <c r="I1026" s="14" t="s">
        <v>15</v>
      </c>
    </row>
    <row r="1027" spans="1:9" ht="31.2">
      <c r="A1027" s="15" t="s">
        <v>2001</v>
      </c>
      <c r="B1027" s="8" t="s">
        <v>2002</v>
      </c>
      <c r="C1027" s="35" t="s">
        <v>2003</v>
      </c>
      <c r="D1027" s="12"/>
      <c r="E1027" s="17" t="s">
        <v>14</v>
      </c>
      <c r="F1027" s="12"/>
      <c r="G1027" s="12"/>
      <c r="H1027" s="13">
        <v>21</v>
      </c>
      <c r="I1027" s="23" t="s">
        <v>11</v>
      </c>
    </row>
    <row r="1028" spans="1:9" ht="31.2">
      <c r="A1028" s="15">
        <v>251747</v>
      </c>
      <c r="B1028" s="8" t="s">
        <v>2004</v>
      </c>
      <c r="C1028" s="35" t="s">
        <v>2005</v>
      </c>
      <c r="D1028" s="17" t="s">
        <v>220</v>
      </c>
      <c r="E1028" s="17" t="s">
        <v>14</v>
      </c>
      <c r="F1028" s="12"/>
      <c r="G1028" s="12"/>
      <c r="H1028" s="13">
        <v>75</v>
      </c>
      <c r="I1028" s="14" t="s">
        <v>18</v>
      </c>
    </row>
    <row r="1029" spans="1:9" ht="31.2">
      <c r="A1029" s="41" t="s">
        <v>332</v>
      </c>
      <c r="B1029" s="42" t="s">
        <v>2006</v>
      </c>
      <c r="C1029" s="43" t="s">
        <v>2007</v>
      </c>
      <c r="D1029" s="44"/>
      <c r="E1029" s="62" t="s">
        <v>14</v>
      </c>
      <c r="F1029" s="44"/>
      <c r="G1029" s="44"/>
      <c r="H1029" s="46">
        <v>21</v>
      </c>
      <c r="I1029" s="47" t="s">
        <v>15</v>
      </c>
    </row>
    <row r="1030" spans="1:9" ht="78">
      <c r="A1030" s="15">
        <v>2837582</v>
      </c>
      <c r="B1030" s="8" t="s">
        <v>2008</v>
      </c>
      <c r="C1030" s="16" t="s">
        <v>2009</v>
      </c>
      <c r="D1030" s="12"/>
      <c r="E1030" s="17" t="s">
        <v>14</v>
      </c>
      <c r="F1030" s="12"/>
      <c r="G1030" s="12"/>
      <c r="H1030" s="13">
        <v>21</v>
      </c>
      <c r="I1030" s="14" t="s">
        <v>15</v>
      </c>
    </row>
    <row r="1031" spans="1:9" ht="31.2">
      <c r="A1031" s="41" t="s">
        <v>332</v>
      </c>
      <c r="B1031" s="42" t="s">
        <v>2010</v>
      </c>
      <c r="C1031" s="43" t="s">
        <v>2011</v>
      </c>
      <c r="D1031" s="44"/>
      <c r="E1031" s="62" t="s">
        <v>14</v>
      </c>
      <c r="F1031" s="44"/>
      <c r="G1031" s="44"/>
      <c r="H1031" s="46">
        <v>19</v>
      </c>
      <c r="I1031" s="47" t="s">
        <v>15</v>
      </c>
    </row>
    <row r="1032" spans="1:9" ht="46.8">
      <c r="A1032" s="41" t="s">
        <v>332</v>
      </c>
      <c r="B1032" s="42" t="s">
        <v>2012</v>
      </c>
      <c r="C1032" s="43" t="s">
        <v>2013</v>
      </c>
      <c r="D1032" s="44"/>
      <c r="E1032" s="62" t="s">
        <v>14</v>
      </c>
      <c r="F1032" s="44"/>
      <c r="G1032" s="44"/>
      <c r="H1032" s="46">
        <v>21</v>
      </c>
      <c r="I1032" s="47" t="s">
        <v>15</v>
      </c>
    </row>
    <row r="1033" spans="1:9" ht="46.8">
      <c r="A1033" s="41" t="s">
        <v>332</v>
      </c>
      <c r="B1033" s="42" t="s">
        <v>2014</v>
      </c>
      <c r="C1033" s="43" t="s">
        <v>2015</v>
      </c>
      <c r="D1033" s="44"/>
      <c r="E1033" s="62" t="s">
        <v>14</v>
      </c>
      <c r="F1033" s="44"/>
      <c r="G1033" s="44"/>
      <c r="H1033" s="46">
        <v>21</v>
      </c>
      <c r="I1033" s="47" t="s">
        <v>15</v>
      </c>
    </row>
    <row r="1034" spans="1:9" ht="46.8">
      <c r="A1034" s="41" t="s">
        <v>332</v>
      </c>
      <c r="B1034" s="42" t="s">
        <v>2016</v>
      </c>
      <c r="C1034" s="43" t="s">
        <v>2017</v>
      </c>
      <c r="D1034" s="44"/>
      <c r="E1034" s="62" t="s">
        <v>14</v>
      </c>
      <c r="F1034" s="44"/>
      <c r="G1034" s="44"/>
      <c r="H1034" s="46">
        <v>21</v>
      </c>
      <c r="I1034" s="47" t="s">
        <v>15</v>
      </c>
    </row>
    <row r="1035" spans="1:9" ht="46.8">
      <c r="A1035" s="41" t="s">
        <v>332</v>
      </c>
      <c r="B1035" s="42" t="s">
        <v>2018</v>
      </c>
      <c r="C1035" s="43" t="s">
        <v>2019</v>
      </c>
      <c r="D1035" s="44"/>
      <c r="E1035" s="62" t="s">
        <v>14</v>
      </c>
      <c r="F1035" s="44"/>
      <c r="G1035" s="44"/>
      <c r="H1035" s="46">
        <v>21</v>
      </c>
      <c r="I1035" s="47" t="s">
        <v>15</v>
      </c>
    </row>
    <row r="1036" spans="1:9" ht="46.8">
      <c r="A1036" s="41" t="s">
        <v>332</v>
      </c>
      <c r="B1036" s="42" t="s">
        <v>2020</v>
      </c>
      <c r="C1036" s="43" t="s">
        <v>2021</v>
      </c>
      <c r="D1036" s="44"/>
      <c r="E1036" s="62" t="s">
        <v>14</v>
      </c>
      <c r="F1036" s="44"/>
      <c r="G1036" s="44"/>
      <c r="H1036" s="46">
        <v>21</v>
      </c>
      <c r="I1036" s="47" t="s">
        <v>15</v>
      </c>
    </row>
    <row r="1037" spans="1:9" ht="46.8">
      <c r="A1037" s="41" t="s">
        <v>332</v>
      </c>
      <c r="B1037" s="42" t="s">
        <v>2022</v>
      </c>
      <c r="C1037" s="43" t="s">
        <v>2023</v>
      </c>
      <c r="D1037" s="44"/>
      <c r="E1037" s="62" t="s">
        <v>14</v>
      </c>
      <c r="F1037" s="44"/>
      <c r="G1037" s="44"/>
      <c r="H1037" s="46">
        <v>21</v>
      </c>
      <c r="I1037" s="47" t="s">
        <v>15</v>
      </c>
    </row>
    <row r="1038" spans="1:9" ht="46.8">
      <c r="A1038" s="41" t="s">
        <v>332</v>
      </c>
      <c r="B1038" s="42" t="s">
        <v>2024</v>
      </c>
      <c r="C1038" s="43" t="s">
        <v>2025</v>
      </c>
      <c r="D1038" s="44"/>
      <c r="E1038" s="62" t="s">
        <v>14</v>
      </c>
      <c r="F1038" s="44"/>
      <c r="G1038" s="44"/>
      <c r="H1038" s="46">
        <v>21</v>
      </c>
      <c r="I1038" s="47" t="s">
        <v>15</v>
      </c>
    </row>
    <row r="1039" spans="1:9" ht="46.8">
      <c r="A1039" s="15">
        <v>3401328</v>
      </c>
      <c r="B1039" s="8" t="s">
        <v>2026</v>
      </c>
      <c r="C1039" s="16" t="s">
        <v>2027</v>
      </c>
      <c r="D1039" s="12"/>
      <c r="E1039" s="17" t="s">
        <v>14</v>
      </c>
      <c r="F1039" s="12"/>
      <c r="G1039" s="12"/>
      <c r="H1039" s="13">
        <v>21</v>
      </c>
      <c r="I1039" s="14" t="s">
        <v>15</v>
      </c>
    </row>
    <row r="1040" spans="1:9" ht="31.2">
      <c r="A1040" s="41" t="s">
        <v>332</v>
      </c>
      <c r="B1040" s="42" t="s">
        <v>2028</v>
      </c>
      <c r="C1040" s="43" t="s">
        <v>2029</v>
      </c>
      <c r="D1040" s="44"/>
      <c r="E1040" s="62" t="s">
        <v>14</v>
      </c>
      <c r="F1040" s="44"/>
      <c r="G1040" s="44"/>
      <c r="H1040" s="46">
        <v>21</v>
      </c>
      <c r="I1040" s="47" t="s">
        <v>15</v>
      </c>
    </row>
    <row r="1041" spans="1:9" ht="46.8">
      <c r="A1041" s="15">
        <v>2775098</v>
      </c>
      <c r="B1041" s="8" t="s">
        <v>2030</v>
      </c>
      <c r="C1041" s="16" t="s">
        <v>2031</v>
      </c>
      <c r="D1041" s="12"/>
      <c r="E1041" s="17" t="s">
        <v>14</v>
      </c>
      <c r="F1041" s="11" t="s">
        <v>43</v>
      </c>
      <c r="G1041" s="12"/>
      <c r="H1041" s="13">
        <v>21</v>
      </c>
      <c r="I1041" s="14" t="s">
        <v>15</v>
      </c>
    </row>
    <row r="1042" spans="1:9" ht="46.8">
      <c r="A1042" s="15" t="s">
        <v>2032</v>
      </c>
      <c r="B1042" s="8" t="s">
        <v>2033</v>
      </c>
      <c r="C1042" s="35" t="s">
        <v>2034</v>
      </c>
      <c r="D1042" s="17" t="s">
        <v>220</v>
      </c>
      <c r="E1042" s="12"/>
      <c r="F1042" s="12"/>
      <c r="G1042" s="12"/>
      <c r="H1042" s="13">
        <v>238</v>
      </c>
      <c r="I1042" s="23" t="s">
        <v>11</v>
      </c>
    </row>
    <row r="1043" spans="1:9" ht="62.4">
      <c r="A1043" s="15">
        <v>563246</v>
      </c>
      <c r="B1043" s="8" t="s">
        <v>2035</v>
      </c>
      <c r="C1043" s="35" t="s">
        <v>2036</v>
      </c>
      <c r="D1043" s="11" t="s">
        <v>220</v>
      </c>
      <c r="E1043" s="18" t="s">
        <v>14</v>
      </c>
      <c r="F1043" s="12"/>
      <c r="G1043" s="12"/>
      <c r="H1043" s="13">
        <v>15</v>
      </c>
      <c r="I1043" s="23" t="s">
        <v>18</v>
      </c>
    </row>
    <row r="1044" spans="1:9" ht="62.4">
      <c r="A1044" s="15">
        <v>561929</v>
      </c>
      <c r="B1044" s="8" t="s">
        <v>2037</v>
      </c>
      <c r="C1044" s="35" t="s">
        <v>2038</v>
      </c>
      <c r="D1044" s="17" t="s">
        <v>220</v>
      </c>
      <c r="E1044" s="12"/>
      <c r="F1044" s="11" t="s">
        <v>43</v>
      </c>
      <c r="G1044" s="12"/>
      <c r="H1044" s="13">
        <v>15</v>
      </c>
      <c r="I1044" s="23" t="s">
        <v>18</v>
      </c>
    </row>
    <row r="1045" spans="1:9" ht="62.4">
      <c r="A1045" s="15">
        <v>1160705</v>
      </c>
      <c r="B1045" s="8" t="s">
        <v>2039</v>
      </c>
      <c r="C1045" s="16" t="s">
        <v>2040</v>
      </c>
      <c r="D1045" s="12"/>
      <c r="E1045" s="17" t="s">
        <v>14</v>
      </c>
      <c r="F1045" s="11" t="s">
        <v>43</v>
      </c>
      <c r="G1045" s="12"/>
      <c r="H1045" s="13">
        <v>85</v>
      </c>
      <c r="I1045" s="14" t="s">
        <v>15</v>
      </c>
    </row>
    <row r="1046" spans="1:9" ht="31.2">
      <c r="A1046" s="15">
        <v>4498967</v>
      </c>
      <c r="B1046" s="8" t="s">
        <v>2041</v>
      </c>
      <c r="C1046" s="16" t="s">
        <v>2042</v>
      </c>
      <c r="D1046" s="12"/>
      <c r="E1046" s="17" t="s">
        <v>14</v>
      </c>
      <c r="F1046" s="11" t="s">
        <v>43</v>
      </c>
      <c r="G1046" s="12"/>
      <c r="H1046" s="13">
        <v>85</v>
      </c>
      <c r="I1046" s="14" t="s">
        <v>15</v>
      </c>
    </row>
    <row r="1047" spans="1:9" ht="46.8">
      <c r="A1047" s="15" t="s">
        <v>2043</v>
      </c>
      <c r="B1047" s="8" t="s">
        <v>2044</v>
      </c>
      <c r="C1047" s="35" t="s">
        <v>2045</v>
      </c>
      <c r="D1047" s="17" t="s">
        <v>220</v>
      </c>
      <c r="E1047" s="17" t="s">
        <v>14</v>
      </c>
      <c r="F1047" s="11" t="s">
        <v>43</v>
      </c>
      <c r="G1047" s="12"/>
      <c r="H1047" s="13">
        <v>75</v>
      </c>
      <c r="I1047" s="23" t="s">
        <v>11</v>
      </c>
    </row>
    <row r="1048" spans="1:9" ht="62.4">
      <c r="A1048" s="15">
        <v>597573</v>
      </c>
      <c r="B1048" s="8" t="s">
        <v>2046</v>
      </c>
      <c r="C1048" s="16" t="s">
        <v>2047</v>
      </c>
      <c r="D1048" s="12"/>
      <c r="E1048" s="17" t="s">
        <v>14</v>
      </c>
      <c r="F1048" s="11" t="s">
        <v>43</v>
      </c>
      <c r="G1048" s="12"/>
      <c r="H1048" s="13">
        <v>249</v>
      </c>
      <c r="I1048" s="14" t="s">
        <v>15</v>
      </c>
    </row>
    <row r="1049" spans="1:9" ht="78">
      <c r="A1049" s="15">
        <v>4319562</v>
      </c>
      <c r="B1049" s="8" t="s">
        <v>2048</v>
      </c>
      <c r="C1049" s="16" t="s">
        <v>2049</v>
      </c>
      <c r="D1049" s="12"/>
      <c r="E1049" s="17" t="s">
        <v>14</v>
      </c>
      <c r="F1049" s="12"/>
      <c r="G1049" s="12"/>
      <c r="H1049" s="13">
        <v>85</v>
      </c>
      <c r="I1049" s="14" t="s">
        <v>15</v>
      </c>
    </row>
    <row r="1050" spans="1:9" ht="46.8">
      <c r="A1050" s="15">
        <v>4319760</v>
      </c>
      <c r="B1050" s="8" t="s">
        <v>2050</v>
      </c>
      <c r="C1050" s="16" t="s">
        <v>2051</v>
      </c>
      <c r="D1050" s="12"/>
      <c r="E1050" s="17" t="s">
        <v>14</v>
      </c>
      <c r="F1050" s="12"/>
      <c r="G1050" s="12"/>
      <c r="H1050" s="13">
        <v>85</v>
      </c>
      <c r="I1050" s="14" t="s">
        <v>15</v>
      </c>
    </row>
    <row r="1051" spans="1:9" ht="31.2">
      <c r="A1051" s="15">
        <v>2124205</v>
      </c>
      <c r="B1051" s="8" t="s">
        <v>2052</v>
      </c>
      <c r="C1051" s="16" t="s">
        <v>2053</v>
      </c>
      <c r="D1051" s="12"/>
      <c r="E1051" s="17" t="s">
        <v>14</v>
      </c>
      <c r="F1051" s="11"/>
      <c r="G1051" s="12"/>
      <c r="H1051" s="13">
        <v>75</v>
      </c>
      <c r="I1051" s="14" t="s">
        <v>15</v>
      </c>
    </row>
    <row r="1052" spans="1:9" ht="31.2">
      <c r="A1052" s="15">
        <v>4527192</v>
      </c>
      <c r="B1052" s="8" t="s">
        <v>2054</v>
      </c>
      <c r="C1052" s="16" t="s">
        <v>2055</v>
      </c>
      <c r="D1052" s="12"/>
      <c r="E1052" s="17" t="s">
        <v>14</v>
      </c>
      <c r="F1052" s="12"/>
      <c r="G1052" s="12"/>
      <c r="H1052" s="13">
        <v>85</v>
      </c>
      <c r="I1052" s="14" t="s">
        <v>15</v>
      </c>
    </row>
    <row r="1053" spans="1:9" ht="46.8">
      <c r="A1053" s="41" t="s">
        <v>332</v>
      </c>
      <c r="B1053" s="42" t="s">
        <v>2056</v>
      </c>
      <c r="C1053" s="43" t="s">
        <v>2057</v>
      </c>
      <c r="D1053" s="62" t="s">
        <v>220</v>
      </c>
      <c r="E1053" s="44"/>
      <c r="F1053" s="44"/>
      <c r="G1053" s="44"/>
      <c r="H1053" s="46">
        <v>21</v>
      </c>
      <c r="I1053" s="47" t="s">
        <v>15</v>
      </c>
    </row>
    <row r="1054" spans="1:9" ht="31.2">
      <c r="A1054" s="15">
        <v>4499097</v>
      </c>
      <c r="B1054" s="8" t="s">
        <v>2058</v>
      </c>
      <c r="C1054" s="72" t="s">
        <v>2059</v>
      </c>
      <c r="D1054" s="12"/>
      <c r="E1054" s="51" t="str">
        <f>HYPERLINK("https://search.ancestryinstitution.com/search/db.aspx?dbid=8945","Ancestry.com")</f>
        <v>Ancestry.com</v>
      </c>
      <c r="F1054" s="12"/>
      <c r="G1054" s="12"/>
      <c r="H1054" s="13">
        <v>85</v>
      </c>
      <c r="I1054" s="14" t="s">
        <v>15</v>
      </c>
    </row>
    <row r="1055" spans="1:9" ht="46.8">
      <c r="A1055" s="15">
        <v>4499105</v>
      </c>
      <c r="B1055" s="8" t="s">
        <v>2060</v>
      </c>
      <c r="C1055" s="72" t="s">
        <v>2061</v>
      </c>
      <c r="D1055" s="12"/>
      <c r="E1055" s="51" t="str">
        <f>HYPERLINK("https://search.ancestryinstitution.com/aird/search/db.aspx?dbid=8945","Ancestry.com")</f>
        <v>Ancestry.com</v>
      </c>
      <c r="F1055" s="12"/>
      <c r="G1055" s="12"/>
      <c r="H1055" s="13">
        <v>85</v>
      </c>
      <c r="I1055" s="14" t="s">
        <v>15</v>
      </c>
    </row>
    <row r="1056" spans="1:9" ht="46.8">
      <c r="A1056" s="15">
        <v>595176</v>
      </c>
      <c r="B1056" s="8" t="s">
        <v>2062</v>
      </c>
      <c r="C1056" s="35" t="s">
        <v>2063</v>
      </c>
      <c r="D1056" s="17" t="s">
        <v>220</v>
      </c>
      <c r="E1056" s="17" t="s">
        <v>14</v>
      </c>
      <c r="F1056" s="12"/>
      <c r="G1056" s="12"/>
      <c r="H1056" s="13">
        <v>21</v>
      </c>
      <c r="I1056" s="23" t="s">
        <v>11</v>
      </c>
    </row>
    <row r="1057" spans="1:9" ht="31.2">
      <c r="A1057" s="15">
        <v>579314</v>
      </c>
      <c r="B1057" s="8" t="s">
        <v>2064</v>
      </c>
      <c r="C1057" s="16" t="s">
        <v>2065</v>
      </c>
      <c r="D1057" s="12"/>
      <c r="E1057" s="17" t="s">
        <v>14</v>
      </c>
      <c r="F1057" s="12"/>
      <c r="G1057" s="12"/>
      <c r="H1057" s="13">
        <v>59</v>
      </c>
      <c r="I1057" s="14" t="s">
        <v>15</v>
      </c>
    </row>
    <row r="1058" spans="1:9" ht="31.2">
      <c r="A1058" s="15">
        <v>566612</v>
      </c>
      <c r="B1058" s="8" t="s">
        <v>2066</v>
      </c>
      <c r="C1058" s="35" t="s">
        <v>2067</v>
      </c>
      <c r="D1058" s="11" t="str">
        <f>HYPERLINK("https://www.fold3.com/title/447/passport-applications-1795-1905","Fold3.com")</f>
        <v>Fold3.com</v>
      </c>
      <c r="E1058" s="17" t="s">
        <v>14</v>
      </c>
      <c r="F1058" s="11" t="s">
        <v>43</v>
      </c>
      <c r="G1058" s="12"/>
      <c r="H1058" s="13">
        <v>59</v>
      </c>
      <c r="I1058" s="14" t="s">
        <v>11</v>
      </c>
    </row>
    <row r="1059" spans="1:9" ht="31.2">
      <c r="A1059" s="15" t="s">
        <v>2068</v>
      </c>
      <c r="B1059" s="8" t="s">
        <v>2069</v>
      </c>
      <c r="C1059" s="48" t="s">
        <v>2070</v>
      </c>
      <c r="D1059" s="17" t="s">
        <v>220</v>
      </c>
      <c r="E1059" s="12"/>
      <c r="F1059" s="12"/>
      <c r="G1059" s="12"/>
      <c r="H1059" s="13">
        <v>92</v>
      </c>
      <c r="I1059" s="23" t="s">
        <v>11</v>
      </c>
    </row>
    <row r="1060" spans="1:9" ht="46.8">
      <c r="A1060" s="15">
        <v>4499524</v>
      </c>
      <c r="B1060" s="8" t="s">
        <v>2071</v>
      </c>
      <c r="C1060" s="35" t="s">
        <v>2072</v>
      </c>
      <c r="D1060" s="12"/>
      <c r="E1060" s="17" t="s">
        <v>14</v>
      </c>
      <c r="F1060" s="11" t="s">
        <v>43</v>
      </c>
      <c r="G1060" s="12"/>
      <c r="H1060" s="13">
        <v>85</v>
      </c>
      <c r="I1060" s="23" t="s">
        <v>11</v>
      </c>
    </row>
    <row r="1061" spans="1:9" ht="31.2">
      <c r="A1061" s="15">
        <v>4499531</v>
      </c>
      <c r="B1061" s="8" t="s">
        <v>2073</v>
      </c>
      <c r="C1061" s="48" t="s">
        <v>2074</v>
      </c>
      <c r="D1061" s="12"/>
      <c r="E1061" s="17" t="s">
        <v>14</v>
      </c>
      <c r="F1061" s="12"/>
      <c r="G1061" s="12"/>
      <c r="H1061" s="13">
        <v>85</v>
      </c>
      <c r="I1061" s="23" t="s">
        <v>11</v>
      </c>
    </row>
    <row r="1062" spans="1:9" ht="46.8">
      <c r="A1062" s="15">
        <v>4468084</v>
      </c>
      <c r="B1062" s="8" t="s">
        <v>2075</v>
      </c>
      <c r="C1062" s="16" t="s">
        <v>2076</v>
      </c>
      <c r="D1062" s="12"/>
      <c r="E1062" s="17" t="s">
        <v>14</v>
      </c>
      <c r="F1062" s="11" t="s">
        <v>43</v>
      </c>
      <c r="G1062" s="12"/>
      <c r="H1062" s="13">
        <v>85</v>
      </c>
      <c r="I1062" s="14" t="s">
        <v>15</v>
      </c>
    </row>
    <row r="1063" spans="1:9" ht="46.8">
      <c r="A1063" s="15">
        <v>602140</v>
      </c>
      <c r="B1063" s="8" t="s">
        <v>2077</v>
      </c>
      <c r="C1063" s="16" t="s">
        <v>2078</v>
      </c>
      <c r="D1063" s="11" t="s">
        <v>220</v>
      </c>
      <c r="E1063" s="12"/>
      <c r="F1063" s="12"/>
      <c r="G1063" s="12"/>
      <c r="H1063" s="13">
        <v>94</v>
      </c>
      <c r="I1063" s="14" t="s">
        <v>15</v>
      </c>
    </row>
    <row r="1064" spans="1:9" ht="31.2">
      <c r="A1064" s="15">
        <v>4397783</v>
      </c>
      <c r="B1064" s="8" t="s">
        <v>2079</v>
      </c>
      <c r="C1064" s="16" t="s">
        <v>2080</v>
      </c>
      <c r="D1064" s="12"/>
      <c r="E1064" s="17" t="s">
        <v>14</v>
      </c>
      <c r="F1064" s="12"/>
      <c r="G1064" s="12"/>
      <c r="H1064" s="13">
        <v>85</v>
      </c>
      <c r="I1064" s="14" t="s">
        <v>15</v>
      </c>
    </row>
    <row r="1065" spans="1:9" ht="31.2">
      <c r="A1065" s="15">
        <v>4499534</v>
      </c>
      <c r="B1065" s="8" t="s">
        <v>2081</v>
      </c>
      <c r="C1065" s="16" t="s">
        <v>2082</v>
      </c>
      <c r="D1065" s="12"/>
      <c r="E1065" s="17" t="s">
        <v>14</v>
      </c>
      <c r="F1065" s="12"/>
      <c r="G1065" s="12"/>
      <c r="H1065" s="13">
        <v>85</v>
      </c>
      <c r="I1065" s="14" t="s">
        <v>15</v>
      </c>
    </row>
    <row r="1066" spans="1:9" ht="31.2">
      <c r="A1066" s="15">
        <v>1116809</v>
      </c>
      <c r="B1066" s="8" t="s">
        <v>2083</v>
      </c>
      <c r="C1066" s="35" t="s">
        <v>2084</v>
      </c>
      <c r="D1066" s="17" t="s">
        <v>220</v>
      </c>
      <c r="E1066" s="12"/>
      <c r="F1066" s="12"/>
      <c r="G1066" s="12"/>
      <c r="H1066" s="13">
        <v>21</v>
      </c>
      <c r="I1066" s="23" t="s">
        <v>11</v>
      </c>
    </row>
    <row r="1067" spans="1:9" ht="31.2">
      <c r="A1067" s="15" t="s">
        <v>2085</v>
      </c>
      <c r="B1067" s="8" t="s">
        <v>2086</v>
      </c>
      <c r="C1067" s="16" t="s">
        <v>2087</v>
      </c>
      <c r="D1067" s="11" t="s">
        <v>220</v>
      </c>
      <c r="E1067" s="17" t="s">
        <v>14</v>
      </c>
      <c r="F1067" s="12"/>
      <c r="G1067" s="12"/>
      <c r="H1067" s="13">
        <v>233</v>
      </c>
      <c r="I1067" s="14" t="s">
        <v>15</v>
      </c>
    </row>
    <row r="1068" spans="1:9" ht="46.8">
      <c r="A1068" s="15">
        <v>580492</v>
      </c>
      <c r="B1068" s="8" t="s">
        <v>2088</v>
      </c>
      <c r="C1068" s="48" t="s">
        <v>2089</v>
      </c>
      <c r="D1068" s="11" t="s">
        <v>220</v>
      </c>
      <c r="E1068" s="17" t="s">
        <v>14</v>
      </c>
      <c r="F1068" s="12"/>
      <c r="G1068" s="12"/>
      <c r="H1068" s="13">
        <v>15</v>
      </c>
      <c r="I1068" s="23" t="s">
        <v>18</v>
      </c>
    </row>
    <row r="1069" spans="1:9" ht="31.2">
      <c r="A1069" s="15">
        <v>4498993</v>
      </c>
      <c r="B1069" s="8" t="s">
        <v>2090</v>
      </c>
      <c r="C1069" s="16" t="s">
        <v>2091</v>
      </c>
      <c r="D1069" s="12"/>
      <c r="E1069" s="17" t="s">
        <v>14</v>
      </c>
      <c r="F1069" s="11" t="s">
        <v>43</v>
      </c>
      <c r="G1069" s="12"/>
      <c r="H1069" s="13">
        <v>85</v>
      </c>
      <c r="I1069" s="14" t="s">
        <v>15</v>
      </c>
    </row>
    <row r="1070" spans="1:9" ht="31.2">
      <c r="A1070" s="15">
        <v>4449166</v>
      </c>
      <c r="B1070" s="8" t="s">
        <v>2092</v>
      </c>
      <c r="C1070" s="35" t="s">
        <v>2093</v>
      </c>
      <c r="D1070" s="12"/>
      <c r="E1070" s="17" t="s">
        <v>14</v>
      </c>
      <c r="F1070" s="11" t="s">
        <v>43</v>
      </c>
      <c r="G1070" s="12"/>
      <c r="H1070" s="13">
        <v>85</v>
      </c>
      <c r="I1070" s="23" t="s">
        <v>11</v>
      </c>
    </row>
    <row r="1071" spans="1:9" ht="31.2">
      <c r="A1071" s="15">
        <v>4478116</v>
      </c>
      <c r="B1071" s="8" t="s">
        <v>2094</v>
      </c>
      <c r="C1071" s="16" t="s">
        <v>2095</v>
      </c>
      <c r="D1071" s="12"/>
      <c r="E1071" s="17" t="s">
        <v>14</v>
      </c>
      <c r="F1071" s="12"/>
      <c r="G1071" s="12"/>
      <c r="H1071" s="13">
        <v>85</v>
      </c>
      <c r="I1071" s="14" t="s">
        <v>15</v>
      </c>
    </row>
    <row r="1072" spans="1:9" ht="46.8">
      <c r="A1072" s="15">
        <v>4481615</v>
      </c>
      <c r="B1072" s="8" t="s">
        <v>2096</v>
      </c>
      <c r="C1072" s="35" t="s">
        <v>2097</v>
      </c>
      <c r="D1072" s="12"/>
      <c r="E1072" s="17" t="s">
        <v>14</v>
      </c>
      <c r="F1072" s="12"/>
      <c r="G1072" s="12"/>
      <c r="H1072" s="13">
        <v>85</v>
      </c>
      <c r="I1072" s="14" t="s">
        <v>11</v>
      </c>
    </row>
    <row r="1073" spans="1:9" ht="31.2">
      <c r="A1073" s="15">
        <v>4481626</v>
      </c>
      <c r="B1073" s="8" t="s">
        <v>2098</v>
      </c>
      <c r="C1073" s="35" t="s">
        <v>2099</v>
      </c>
      <c r="D1073" s="12"/>
      <c r="E1073" s="11" t="str">
        <f>HYPERLINK("https://search.ancestryinstitution.com/aird/search/db.aspx?dbid=7949","Ancestry.com")</f>
        <v>Ancestry.com</v>
      </c>
      <c r="F1073" s="12"/>
      <c r="G1073" s="12"/>
      <c r="H1073" s="13">
        <v>85</v>
      </c>
      <c r="I1073" s="23" t="s">
        <v>11</v>
      </c>
    </row>
    <row r="1074" spans="1:9" ht="31.2">
      <c r="A1074" s="15">
        <v>4482913</v>
      </c>
      <c r="B1074" s="8" t="s">
        <v>2100</v>
      </c>
      <c r="C1074" s="16" t="s">
        <v>2101</v>
      </c>
      <c r="D1074" s="12"/>
      <c r="E1074" s="17" t="s">
        <v>14</v>
      </c>
      <c r="F1074" s="12"/>
      <c r="G1074" s="12"/>
      <c r="H1074" s="13">
        <v>85</v>
      </c>
      <c r="I1074" s="14" t="s">
        <v>15</v>
      </c>
    </row>
    <row r="1075" spans="1:9" ht="31.2">
      <c r="A1075" s="15">
        <v>4492737</v>
      </c>
      <c r="B1075" s="8" t="s">
        <v>2102</v>
      </c>
      <c r="C1075" s="16" t="s">
        <v>2103</v>
      </c>
      <c r="D1075" s="12"/>
      <c r="E1075" s="12"/>
      <c r="F1075" s="11" t="str">
        <f>HYPERLINK("https://www.familysearch.org/search/catalog/341057?availability=Family%20History%20Library","FamilySearch.org")</f>
        <v>FamilySearch.org</v>
      </c>
      <c r="G1075" s="12"/>
      <c r="H1075" s="13">
        <v>85</v>
      </c>
      <c r="I1075" s="14" t="s">
        <v>15</v>
      </c>
    </row>
    <row r="1076" spans="1:9" ht="31.2">
      <c r="A1076" s="15">
        <v>4481636</v>
      </c>
      <c r="B1076" s="8" t="s">
        <v>2104</v>
      </c>
      <c r="C1076" s="16" t="s">
        <v>2105</v>
      </c>
      <c r="D1076" s="12"/>
      <c r="E1076" s="17" t="s">
        <v>14</v>
      </c>
      <c r="F1076" s="12"/>
      <c r="G1076" s="12"/>
      <c r="H1076" s="13">
        <v>85</v>
      </c>
      <c r="I1076" s="14" t="s">
        <v>15</v>
      </c>
    </row>
    <row r="1077" spans="1:9" ht="31.2">
      <c r="A1077" s="15">
        <v>4481637</v>
      </c>
      <c r="B1077" s="8" t="s">
        <v>2106</v>
      </c>
      <c r="C1077" s="35" t="s">
        <v>2107</v>
      </c>
      <c r="D1077" s="12"/>
      <c r="E1077" s="17" t="s">
        <v>14</v>
      </c>
      <c r="F1077" s="11" t="str">
        <f>HYPERLINK("https://www.familysearch.org/search/catalog/2822767?availability=Family%20History%20Library","FamilySearch.org")</f>
        <v>FamilySearch.org</v>
      </c>
      <c r="G1077" s="12"/>
      <c r="H1077" s="13">
        <v>85</v>
      </c>
      <c r="I1077" s="23" t="s">
        <v>11</v>
      </c>
    </row>
    <row r="1078" spans="1:9" ht="46.8">
      <c r="A1078" s="15">
        <v>305261</v>
      </c>
      <c r="B1078" s="8" t="s">
        <v>2108</v>
      </c>
      <c r="C1078" s="16" t="s">
        <v>2109</v>
      </c>
      <c r="D1078" s="11" t="s">
        <v>220</v>
      </c>
      <c r="E1078" s="12"/>
      <c r="F1078" s="12"/>
      <c r="G1078" s="12"/>
      <c r="H1078" s="13">
        <v>165</v>
      </c>
      <c r="I1078" s="14" t="s">
        <v>15</v>
      </c>
    </row>
    <row r="1079" spans="1:9" ht="31.2">
      <c r="A1079" s="15">
        <v>302021</v>
      </c>
      <c r="B1079" s="8" t="s">
        <v>2110</v>
      </c>
      <c r="C1079" s="35" t="s">
        <v>2111</v>
      </c>
      <c r="D1079" s="17" t="s">
        <v>220</v>
      </c>
      <c r="E1079" s="12"/>
      <c r="F1079" s="12"/>
      <c r="G1079" s="12"/>
      <c r="H1079" s="20">
        <v>59</v>
      </c>
      <c r="I1079" s="23" t="s">
        <v>11</v>
      </c>
    </row>
    <row r="1080" spans="1:9" ht="46.8">
      <c r="A1080" s="15">
        <v>4492487</v>
      </c>
      <c r="B1080" s="8" t="s">
        <v>2112</v>
      </c>
      <c r="C1080" s="16" t="s">
        <v>2113</v>
      </c>
      <c r="D1080" s="12"/>
      <c r="E1080" s="12"/>
      <c r="F1080" s="11" t="s">
        <v>43</v>
      </c>
      <c r="G1080" s="12"/>
      <c r="H1080" s="13">
        <v>85</v>
      </c>
      <c r="I1080" s="14" t="s">
        <v>15</v>
      </c>
    </row>
    <row r="1081" spans="1:9" ht="31.2">
      <c r="A1081" s="15">
        <v>4477069</v>
      </c>
      <c r="B1081" s="8" t="s">
        <v>2114</v>
      </c>
      <c r="C1081" s="35" t="s">
        <v>2115</v>
      </c>
      <c r="D1081" s="12"/>
      <c r="E1081" s="17" t="s">
        <v>14</v>
      </c>
      <c r="F1081" s="11" t="s">
        <v>43</v>
      </c>
      <c r="G1081" s="12"/>
      <c r="H1081" s="13">
        <v>85</v>
      </c>
      <c r="I1081" s="23" t="s">
        <v>11</v>
      </c>
    </row>
    <row r="1082" spans="1:9" ht="46.8">
      <c r="A1082" s="15">
        <v>4492488</v>
      </c>
      <c r="B1082" s="8" t="s">
        <v>2116</v>
      </c>
      <c r="C1082" s="16" t="s">
        <v>2117</v>
      </c>
      <c r="D1082" s="12"/>
      <c r="E1082" s="12"/>
      <c r="F1082" s="11" t="s">
        <v>43</v>
      </c>
      <c r="G1082" s="12"/>
      <c r="H1082" s="13">
        <v>85</v>
      </c>
      <c r="I1082" s="14" t="s">
        <v>15</v>
      </c>
    </row>
    <row r="1083" spans="1:9" ht="46.8">
      <c r="A1083" s="15">
        <v>4492490</v>
      </c>
      <c r="B1083" s="8" t="s">
        <v>2118</v>
      </c>
      <c r="C1083" s="16" t="s">
        <v>2119</v>
      </c>
      <c r="D1083" s="12"/>
      <c r="E1083" s="17" t="s">
        <v>14</v>
      </c>
      <c r="F1083" s="11" t="s">
        <v>43</v>
      </c>
      <c r="G1083" s="12"/>
      <c r="H1083" s="13">
        <v>85</v>
      </c>
      <c r="I1083" s="14" t="s">
        <v>15</v>
      </c>
    </row>
    <row r="1084" spans="1:9" ht="46.8">
      <c r="A1084" s="15">
        <v>4492491</v>
      </c>
      <c r="B1084" s="8" t="s">
        <v>2120</v>
      </c>
      <c r="C1084" s="16" t="s">
        <v>2121</v>
      </c>
      <c r="D1084" s="12"/>
      <c r="E1084" s="17" t="s">
        <v>14</v>
      </c>
      <c r="F1084" s="11" t="s">
        <v>43</v>
      </c>
      <c r="G1084" s="12"/>
      <c r="H1084" s="13">
        <v>85</v>
      </c>
      <c r="I1084" s="14" t="s">
        <v>15</v>
      </c>
    </row>
    <row r="1085" spans="1:9" ht="46.8">
      <c r="A1085" s="15">
        <v>580580</v>
      </c>
      <c r="B1085" s="8" t="s">
        <v>2122</v>
      </c>
      <c r="C1085" s="35" t="s">
        <v>2123</v>
      </c>
      <c r="D1085" s="17" t="s">
        <v>220</v>
      </c>
      <c r="E1085" s="17" t="s">
        <v>14</v>
      </c>
      <c r="F1085" s="12"/>
      <c r="G1085" s="12"/>
      <c r="H1085" s="13">
        <v>15</v>
      </c>
      <c r="I1085" s="23" t="s">
        <v>18</v>
      </c>
    </row>
    <row r="1086" spans="1:9" ht="31.2">
      <c r="A1086" s="15">
        <v>4527204</v>
      </c>
      <c r="B1086" s="8" t="s">
        <v>2124</v>
      </c>
      <c r="C1086" s="35" t="s">
        <v>2125</v>
      </c>
      <c r="D1086" s="12"/>
      <c r="E1086" s="17" t="s">
        <v>14</v>
      </c>
      <c r="F1086" s="11" t="s">
        <v>43</v>
      </c>
      <c r="G1086" s="12"/>
      <c r="H1086" s="13">
        <v>85</v>
      </c>
      <c r="I1086" s="23" t="s">
        <v>11</v>
      </c>
    </row>
    <row r="1087" spans="1:9" ht="46.8">
      <c r="A1087" s="15">
        <v>4527226</v>
      </c>
      <c r="B1087" s="8" t="s">
        <v>2126</v>
      </c>
      <c r="C1087" s="16" t="s">
        <v>2127</v>
      </c>
      <c r="D1087" s="12"/>
      <c r="E1087" s="17" t="s">
        <v>14</v>
      </c>
      <c r="F1087" s="11" t="s">
        <v>43</v>
      </c>
      <c r="G1087" s="12"/>
      <c r="H1087" s="13">
        <v>85</v>
      </c>
      <c r="I1087" s="14" t="s">
        <v>15</v>
      </c>
    </row>
    <row r="1088" spans="1:9" ht="46.8">
      <c r="A1088" s="15">
        <v>4527443</v>
      </c>
      <c r="B1088" s="8" t="s">
        <v>2128</v>
      </c>
      <c r="C1088" s="16" t="s">
        <v>2129</v>
      </c>
      <c r="D1088" s="12"/>
      <c r="E1088" s="17" t="s">
        <v>14</v>
      </c>
      <c r="F1088" s="11" t="s">
        <v>43</v>
      </c>
      <c r="G1088" s="12"/>
      <c r="H1088" s="13">
        <v>85</v>
      </c>
      <c r="I1088" s="14" t="s">
        <v>15</v>
      </c>
    </row>
    <row r="1089" spans="1:9" ht="31.2">
      <c r="A1089" s="15">
        <v>4527447</v>
      </c>
      <c r="B1089" s="8" t="s">
        <v>2130</v>
      </c>
      <c r="C1089" s="16" t="s">
        <v>2131</v>
      </c>
      <c r="D1089" s="12"/>
      <c r="E1089" s="17" t="s">
        <v>14</v>
      </c>
      <c r="F1089" s="11" t="s">
        <v>43</v>
      </c>
      <c r="G1089" s="12"/>
      <c r="H1089" s="13">
        <v>85</v>
      </c>
      <c r="I1089" s="14" t="s">
        <v>15</v>
      </c>
    </row>
    <row r="1090" spans="1:9" ht="78">
      <c r="A1090" s="15">
        <v>4527776</v>
      </c>
      <c r="B1090" s="8" t="s">
        <v>2132</v>
      </c>
      <c r="C1090" s="16" t="s">
        <v>2133</v>
      </c>
      <c r="D1090" s="12"/>
      <c r="E1090" s="11" t="str">
        <f>HYPERLINK("https://search.ancestryinstitution.com/aird/search/db.aspx?dbid=1075","Ancestry.com")</f>
        <v>Ancestry.com</v>
      </c>
      <c r="F1090" s="12"/>
      <c r="G1090" s="12"/>
      <c r="H1090" s="13">
        <v>85</v>
      </c>
      <c r="I1090" s="14" t="s">
        <v>15</v>
      </c>
    </row>
    <row r="1091" spans="1:9" ht="62.4">
      <c r="A1091" s="7">
        <v>57229586</v>
      </c>
      <c r="B1091" s="8" t="s">
        <v>2134</v>
      </c>
      <c r="C1091" s="16" t="s">
        <v>2135</v>
      </c>
      <c r="D1091" s="12"/>
      <c r="E1091" s="17" t="s">
        <v>14</v>
      </c>
      <c r="F1091" s="11" t="s">
        <v>43</v>
      </c>
      <c r="G1091" s="12"/>
      <c r="H1091" s="13">
        <v>85</v>
      </c>
      <c r="I1091" s="14" t="s">
        <v>15</v>
      </c>
    </row>
    <row r="1092" spans="1:9" ht="46.8">
      <c r="A1092" s="28" t="str">
        <f>HYPERLINK("https://catalog.archives.gov/search?q=M1483&amp;f.level=series&amp;f.recordGroupNoCollectionId=105","Various")</f>
        <v>Various</v>
      </c>
      <c r="B1092" s="8" t="s">
        <v>2136</v>
      </c>
      <c r="C1092" s="16" t="s">
        <v>2137</v>
      </c>
      <c r="D1092" s="12"/>
      <c r="E1092" s="17" t="s">
        <v>14</v>
      </c>
      <c r="F1092" s="11" t="s">
        <v>43</v>
      </c>
      <c r="G1092" s="12"/>
      <c r="H1092" s="13">
        <v>105</v>
      </c>
      <c r="I1092" s="14" t="s">
        <v>15</v>
      </c>
    </row>
    <row r="1093" spans="1:9" ht="46.8">
      <c r="A1093" s="15">
        <v>4482922</v>
      </c>
      <c r="B1093" s="8" t="s">
        <v>2138</v>
      </c>
      <c r="C1093" s="16" t="s">
        <v>2139</v>
      </c>
      <c r="D1093" s="12"/>
      <c r="E1093" s="17" t="s">
        <v>14</v>
      </c>
      <c r="F1093" s="12"/>
      <c r="G1093" s="12"/>
      <c r="H1093" s="13">
        <v>85</v>
      </c>
      <c r="I1093" s="14" t="s">
        <v>15</v>
      </c>
    </row>
    <row r="1094" spans="1:9" ht="31.2">
      <c r="A1094" s="15">
        <v>4483007</v>
      </c>
      <c r="B1094" s="8" t="s">
        <v>2140</v>
      </c>
      <c r="C1094" s="16" t="s">
        <v>2141</v>
      </c>
      <c r="D1094" s="12"/>
      <c r="E1094" s="17" t="s">
        <v>14</v>
      </c>
      <c r="F1094" s="12"/>
      <c r="G1094" s="12"/>
      <c r="H1094" s="13">
        <v>85</v>
      </c>
      <c r="I1094" s="14" t="s">
        <v>15</v>
      </c>
    </row>
    <row r="1095" spans="1:9" ht="31.2">
      <c r="A1095" s="15">
        <v>583830</v>
      </c>
      <c r="B1095" s="8" t="s">
        <v>2142</v>
      </c>
      <c r="C1095" s="16" t="s">
        <v>2143</v>
      </c>
      <c r="D1095" s="12"/>
      <c r="E1095" s="17" t="s">
        <v>14</v>
      </c>
      <c r="F1095" s="11" t="s">
        <v>43</v>
      </c>
      <c r="G1095" s="12"/>
      <c r="H1095" s="13">
        <v>59</v>
      </c>
      <c r="I1095" s="14" t="s">
        <v>15</v>
      </c>
    </row>
    <row r="1096" spans="1:9" ht="31.2">
      <c r="A1096" s="15">
        <v>4483021</v>
      </c>
      <c r="B1096" s="8" t="s">
        <v>2144</v>
      </c>
      <c r="C1096" s="16" t="s">
        <v>2145</v>
      </c>
      <c r="D1096" s="12"/>
      <c r="E1096" s="17" t="s">
        <v>14</v>
      </c>
      <c r="F1096" s="12"/>
      <c r="G1096" s="12"/>
      <c r="H1096" s="13">
        <v>85</v>
      </c>
      <c r="I1096" s="14" t="s">
        <v>15</v>
      </c>
    </row>
    <row r="1097" spans="1:9" ht="46.8">
      <c r="A1097" s="15" t="s">
        <v>2146</v>
      </c>
      <c r="B1097" s="8" t="s">
        <v>2147</v>
      </c>
      <c r="C1097" s="35" t="s">
        <v>2148</v>
      </c>
      <c r="D1097" s="12"/>
      <c r="E1097" s="17" t="s">
        <v>14</v>
      </c>
      <c r="F1097" s="12"/>
      <c r="G1097" s="12"/>
      <c r="H1097" s="13">
        <v>85</v>
      </c>
      <c r="I1097" s="23" t="s">
        <v>11</v>
      </c>
    </row>
    <row r="1098" spans="1:9" ht="46.8">
      <c r="A1098" s="15">
        <v>4488828</v>
      </c>
      <c r="B1098" s="8" t="s">
        <v>2149</v>
      </c>
      <c r="C1098" s="16" t="s">
        <v>2150</v>
      </c>
      <c r="D1098" s="12"/>
      <c r="E1098" s="17" t="s">
        <v>14</v>
      </c>
      <c r="F1098" s="12"/>
      <c r="G1098" s="12"/>
      <c r="H1098" s="13">
        <v>85</v>
      </c>
      <c r="I1098" s="14" t="s">
        <v>15</v>
      </c>
    </row>
    <row r="1099" spans="1:9" ht="31.2">
      <c r="A1099" s="15">
        <v>4483102</v>
      </c>
      <c r="B1099" s="8" t="s">
        <v>2151</v>
      </c>
      <c r="C1099" s="16" t="s">
        <v>2152</v>
      </c>
      <c r="D1099" s="12"/>
      <c r="E1099" s="17" t="s">
        <v>14</v>
      </c>
      <c r="F1099" s="12"/>
      <c r="G1099" s="12"/>
      <c r="H1099" s="13">
        <v>85</v>
      </c>
      <c r="I1099" s="14" t="s">
        <v>15</v>
      </c>
    </row>
    <row r="1100" spans="1:9" ht="31.2">
      <c r="A1100" s="15">
        <v>4483124</v>
      </c>
      <c r="B1100" s="8" t="s">
        <v>2153</v>
      </c>
      <c r="C1100" s="16" t="s">
        <v>2154</v>
      </c>
      <c r="D1100" s="12"/>
      <c r="E1100" s="17" t="s">
        <v>14</v>
      </c>
      <c r="F1100" s="12"/>
      <c r="G1100" s="12"/>
      <c r="H1100" s="13">
        <v>85</v>
      </c>
      <c r="I1100" s="14" t="s">
        <v>15</v>
      </c>
    </row>
    <row r="1101" spans="1:9" ht="46.8">
      <c r="A1101" s="41" t="s">
        <v>332</v>
      </c>
      <c r="B1101" s="42" t="s">
        <v>2155</v>
      </c>
      <c r="C1101" s="43" t="s">
        <v>2156</v>
      </c>
      <c r="D1101" s="44"/>
      <c r="E1101" s="62" t="s">
        <v>14</v>
      </c>
      <c r="F1101" s="44"/>
      <c r="G1101" s="44"/>
      <c r="H1101" s="46">
        <v>287</v>
      </c>
      <c r="I1101" s="47" t="s">
        <v>15</v>
      </c>
    </row>
    <row r="1102" spans="1:9" ht="31.2">
      <c r="A1102" s="15">
        <v>572850</v>
      </c>
      <c r="B1102" s="8" t="s">
        <v>2157</v>
      </c>
      <c r="C1102" s="16" t="s">
        <v>2158</v>
      </c>
      <c r="D1102" s="12"/>
      <c r="E1102" s="17" t="s">
        <v>14</v>
      </c>
      <c r="F1102" s="11" t="s">
        <v>43</v>
      </c>
      <c r="G1102" s="12"/>
      <c r="H1102" s="13">
        <v>163</v>
      </c>
      <c r="I1102" s="14" t="s">
        <v>15</v>
      </c>
    </row>
    <row r="1103" spans="1:9" ht="31.2">
      <c r="A1103" s="15">
        <v>299796</v>
      </c>
      <c r="B1103" s="8" t="s">
        <v>2159</v>
      </c>
      <c r="C1103" s="35" t="s">
        <v>2160</v>
      </c>
      <c r="D1103" s="17" t="s">
        <v>220</v>
      </c>
      <c r="E1103" s="12"/>
      <c r="F1103" s="12"/>
      <c r="G1103" s="12"/>
      <c r="H1103" s="13">
        <v>11</v>
      </c>
      <c r="I1103" s="23" t="s">
        <v>11</v>
      </c>
    </row>
    <row r="1104" spans="1:9" ht="46.8">
      <c r="A1104" s="15" t="s">
        <v>2161</v>
      </c>
      <c r="B1104" s="8" t="s">
        <v>2162</v>
      </c>
      <c r="C1104" s="35" t="s">
        <v>2163</v>
      </c>
      <c r="D1104" s="17" t="s">
        <v>220</v>
      </c>
      <c r="E1104" s="17" t="s">
        <v>14</v>
      </c>
      <c r="F1104" s="11" t="s">
        <v>43</v>
      </c>
      <c r="G1104" s="12"/>
      <c r="H1104" s="13">
        <v>21</v>
      </c>
      <c r="I1104" s="23" t="s">
        <v>11</v>
      </c>
    </row>
    <row r="1105" spans="1:9" ht="62.4">
      <c r="A1105" s="15">
        <v>618171</v>
      </c>
      <c r="B1105" s="8" t="s">
        <v>2164</v>
      </c>
      <c r="C1105" s="48" t="s">
        <v>2165</v>
      </c>
      <c r="D1105" s="17" t="s">
        <v>220</v>
      </c>
      <c r="E1105" s="17" t="s">
        <v>14</v>
      </c>
      <c r="F1105" s="12"/>
      <c r="G1105" s="12"/>
      <c r="H1105" s="13">
        <v>21</v>
      </c>
      <c r="I1105" s="23" t="s">
        <v>11</v>
      </c>
    </row>
    <row r="1106" spans="1:9" ht="46.8">
      <c r="A1106" s="15">
        <v>618115</v>
      </c>
      <c r="B1106" s="8" t="s">
        <v>2166</v>
      </c>
      <c r="C1106" s="16" t="s">
        <v>2167</v>
      </c>
      <c r="D1106" s="12"/>
      <c r="E1106" s="17" t="s">
        <v>14</v>
      </c>
      <c r="F1106" s="11" t="s">
        <v>43</v>
      </c>
      <c r="G1106" s="12"/>
      <c r="H1106" s="13">
        <v>21</v>
      </c>
      <c r="I1106" s="14" t="s">
        <v>15</v>
      </c>
    </row>
    <row r="1107" spans="1:9" ht="46.8">
      <c r="A1107" s="15">
        <v>7551473</v>
      </c>
      <c r="B1107" s="8" t="s">
        <v>2168</v>
      </c>
      <c r="C1107" s="49" t="s">
        <v>2169</v>
      </c>
      <c r="D1107" s="17" t="s">
        <v>220</v>
      </c>
      <c r="E1107" s="17" t="s">
        <v>14</v>
      </c>
      <c r="F1107" s="11" t="s">
        <v>43</v>
      </c>
      <c r="G1107" s="12"/>
      <c r="H1107" s="13">
        <v>21</v>
      </c>
      <c r="I1107" s="23" t="s">
        <v>11</v>
      </c>
    </row>
    <row r="1108" spans="1:9" ht="31.2">
      <c r="A1108" s="15">
        <v>2791276</v>
      </c>
      <c r="B1108" s="8" t="s">
        <v>2170</v>
      </c>
      <c r="C1108" s="35" t="s">
        <v>2171</v>
      </c>
      <c r="D1108" s="12"/>
      <c r="E1108" s="11"/>
      <c r="F1108" s="11" t="s">
        <v>43</v>
      </c>
      <c r="G1108" s="12"/>
      <c r="H1108" s="13">
        <v>29</v>
      </c>
      <c r="I1108" s="23" t="s">
        <v>11</v>
      </c>
    </row>
    <row r="1109" spans="1:9" ht="46.8">
      <c r="A1109" s="15" t="s">
        <v>2172</v>
      </c>
      <c r="B1109" s="8" t="s">
        <v>2173</v>
      </c>
      <c r="C1109" s="35" t="s">
        <v>2174</v>
      </c>
      <c r="D1109" s="17" t="s">
        <v>220</v>
      </c>
      <c r="E1109" s="17" t="s">
        <v>14</v>
      </c>
      <c r="F1109" s="12"/>
      <c r="G1109" s="12"/>
      <c r="H1109" s="13">
        <v>21</v>
      </c>
      <c r="I1109" s="23" t="s">
        <v>18</v>
      </c>
    </row>
    <row r="1110" spans="1:9" ht="31.2">
      <c r="A1110" s="41" t="s">
        <v>332</v>
      </c>
      <c r="B1110" s="42" t="s">
        <v>2175</v>
      </c>
      <c r="C1110" s="43" t="s">
        <v>2176</v>
      </c>
      <c r="D1110" s="44"/>
      <c r="E1110" s="62" t="s">
        <v>14</v>
      </c>
      <c r="F1110" s="44"/>
      <c r="G1110" s="44"/>
      <c r="H1110" s="46">
        <v>21</v>
      </c>
      <c r="I1110" s="47" t="s">
        <v>15</v>
      </c>
    </row>
    <row r="1111" spans="1:9" ht="31.2">
      <c r="A1111" s="41" t="s">
        <v>332</v>
      </c>
      <c r="B1111" s="42" t="s">
        <v>2177</v>
      </c>
      <c r="C1111" s="43" t="s">
        <v>2178</v>
      </c>
      <c r="D1111" s="44"/>
      <c r="E1111" s="62" t="s">
        <v>14</v>
      </c>
      <c r="F1111" s="44"/>
      <c r="G1111" s="44"/>
      <c r="H1111" s="46">
        <v>21</v>
      </c>
      <c r="I1111" s="47" t="s">
        <v>15</v>
      </c>
    </row>
    <row r="1112" spans="1:9" ht="31.2">
      <c r="A1112" s="28" t="str">
        <f>HYPERLINK("https://catalog.archives.gov/search?q=M1540&amp;f.level=series&amp;f.recordGroupNoCollectionId=21","Various")</f>
        <v>Various</v>
      </c>
      <c r="B1112" s="8" t="s">
        <v>2179</v>
      </c>
      <c r="C1112" s="16" t="s">
        <v>2180</v>
      </c>
      <c r="D1112" s="12"/>
      <c r="E1112" s="17" t="s">
        <v>14</v>
      </c>
      <c r="F1112" s="12"/>
      <c r="G1112" s="12"/>
      <c r="H1112" s="13">
        <v>21</v>
      </c>
      <c r="I1112" s="14" t="s">
        <v>15</v>
      </c>
    </row>
    <row r="1113" spans="1:9" ht="46.8">
      <c r="A1113" s="28" t="str">
        <f>HYPERLINK("https://catalog.archives.gov/search?q=M1541&amp;f.level=series&amp;f.recordGroupNoCollectionId=21","Various")</f>
        <v>Various</v>
      </c>
      <c r="B1113" s="8" t="s">
        <v>2181</v>
      </c>
      <c r="C1113" s="16" t="s">
        <v>2182</v>
      </c>
      <c r="D1113" s="12"/>
      <c r="E1113" s="17" t="s">
        <v>14</v>
      </c>
      <c r="F1113" s="12"/>
      <c r="G1113" s="12"/>
      <c r="H1113" s="13">
        <v>21</v>
      </c>
      <c r="I1113" s="14" t="s">
        <v>15</v>
      </c>
    </row>
    <row r="1114" spans="1:9" ht="46.8">
      <c r="A1114" s="28" t="str">
        <f>HYPERLINK("https://catalog.archives.gov/search?q=M1542&amp;f.level=series&amp;f.recordGroupNoCollectionId=21","Various")</f>
        <v>Various</v>
      </c>
      <c r="B1114" s="8" t="s">
        <v>2183</v>
      </c>
      <c r="C1114" s="35" t="s">
        <v>2184</v>
      </c>
      <c r="D1114" s="12"/>
      <c r="E1114" s="17" t="s">
        <v>14</v>
      </c>
      <c r="F1114" s="11" t="s">
        <v>43</v>
      </c>
      <c r="G1114" s="12"/>
      <c r="H1114" s="13">
        <v>21</v>
      </c>
      <c r="I1114" s="14" t="s">
        <v>18</v>
      </c>
    </row>
    <row r="1115" spans="1:9" ht="46.8">
      <c r="A1115" s="41" t="s">
        <v>332</v>
      </c>
      <c r="B1115" s="42" t="s">
        <v>2185</v>
      </c>
      <c r="C1115" s="43" t="s">
        <v>2186</v>
      </c>
      <c r="D1115" s="44"/>
      <c r="E1115" s="62" t="s">
        <v>14</v>
      </c>
      <c r="F1115" s="44"/>
      <c r="G1115" s="44"/>
      <c r="H1115" s="46">
        <v>21</v>
      </c>
      <c r="I1115" s="47" t="s">
        <v>15</v>
      </c>
    </row>
    <row r="1116" spans="1:9" ht="46.8">
      <c r="A1116" s="15">
        <v>5634058</v>
      </c>
      <c r="B1116" s="8" t="s">
        <v>2187</v>
      </c>
      <c r="C1116" s="35" t="s">
        <v>2188</v>
      </c>
      <c r="D1116" s="17" t="s">
        <v>220</v>
      </c>
      <c r="E1116" s="17" t="s">
        <v>14</v>
      </c>
      <c r="F1116" s="11" t="s">
        <v>43</v>
      </c>
      <c r="G1116" s="12"/>
      <c r="H1116" s="13">
        <v>21</v>
      </c>
      <c r="I1116" s="23" t="s">
        <v>11</v>
      </c>
    </row>
    <row r="1117" spans="1:9" ht="31.2">
      <c r="A1117" s="41" t="s">
        <v>332</v>
      </c>
      <c r="B1117" s="42" t="s">
        <v>2189</v>
      </c>
      <c r="C1117" s="43" t="s">
        <v>2190</v>
      </c>
      <c r="D1117" s="44"/>
      <c r="E1117" s="62" t="s">
        <v>14</v>
      </c>
      <c r="F1117" s="61" t="str">
        <f>HYPERLINK("https://www.familysearch.org/search/catalog/results?count=20&amp;query=%2Bkeywords%3ANebraska%20%2Bkeywords%3Ahomestead%20%2Bkeywords%3Abroken%20%2Bkeywords%3Abow","FamilySearch.org")</f>
        <v>FamilySearch.org</v>
      </c>
      <c r="G1117" s="44"/>
      <c r="H1117" s="46">
        <v>21</v>
      </c>
      <c r="I1117" s="47" t="s">
        <v>15</v>
      </c>
    </row>
    <row r="1118" spans="1:9" ht="62.4">
      <c r="A1118" s="41" t="s">
        <v>332</v>
      </c>
      <c r="B1118" s="42" t="s">
        <v>2191</v>
      </c>
      <c r="C1118" s="43" t="s">
        <v>2192</v>
      </c>
      <c r="D1118" s="44"/>
      <c r="E1118" s="62" t="s">
        <v>14</v>
      </c>
      <c r="F1118" s="44"/>
      <c r="G1118" s="44"/>
      <c r="H1118" s="46">
        <v>21</v>
      </c>
      <c r="I1118" s="47" t="s">
        <v>15</v>
      </c>
    </row>
    <row r="1119" spans="1:9" ht="46.8">
      <c r="A1119" s="15">
        <v>618115</v>
      </c>
      <c r="B1119" s="8" t="s">
        <v>2193</v>
      </c>
      <c r="C1119" s="16" t="s">
        <v>2194</v>
      </c>
      <c r="D1119" s="12"/>
      <c r="E1119" s="17" t="s">
        <v>14</v>
      </c>
      <c r="F1119" s="12"/>
      <c r="G1119" s="12"/>
      <c r="H1119" s="13">
        <v>21</v>
      </c>
      <c r="I1119" s="14" t="s">
        <v>15</v>
      </c>
    </row>
    <row r="1120" spans="1:9" ht="31.2">
      <c r="A1120" s="41" t="s">
        <v>332</v>
      </c>
      <c r="B1120" s="42" t="s">
        <v>2195</v>
      </c>
      <c r="C1120" s="43" t="s">
        <v>2196</v>
      </c>
      <c r="D1120" s="44"/>
      <c r="E1120" s="62" t="s">
        <v>14</v>
      </c>
      <c r="F1120" s="44"/>
      <c r="G1120" s="44"/>
      <c r="H1120" s="46">
        <v>21</v>
      </c>
      <c r="I1120" s="47" t="s">
        <v>15</v>
      </c>
    </row>
    <row r="1121" spans="1:9" ht="31.2">
      <c r="A1121" s="15">
        <v>7551553</v>
      </c>
      <c r="B1121" s="8" t="s">
        <v>2197</v>
      </c>
      <c r="C1121" s="16" t="s">
        <v>2198</v>
      </c>
      <c r="D1121" s="12"/>
      <c r="E1121" s="17" t="s">
        <v>14</v>
      </c>
      <c r="F1121" s="12"/>
      <c r="G1121" s="12"/>
      <c r="H1121" s="13">
        <v>21</v>
      </c>
      <c r="I1121" s="14" t="s">
        <v>15</v>
      </c>
    </row>
    <row r="1122" spans="1:9" ht="31.2">
      <c r="A1122" s="15">
        <v>3752042</v>
      </c>
      <c r="B1122" s="8" t="s">
        <v>2199</v>
      </c>
      <c r="C1122" s="35" t="s">
        <v>2200</v>
      </c>
      <c r="D1122" s="12"/>
      <c r="E1122" s="17" t="s">
        <v>14</v>
      </c>
      <c r="F1122" s="12"/>
      <c r="G1122" s="12"/>
      <c r="H1122" s="13">
        <v>21</v>
      </c>
      <c r="I1122" s="23" t="s">
        <v>11</v>
      </c>
    </row>
    <row r="1123" spans="1:9" ht="46.8">
      <c r="A1123" s="41" t="s">
        <v>332</v>
      </c>
      <c r="B1123" s="42" t="s">
        <v>2201</v>
      </c>
      <c r="C1123" s="43" t="s">
        <v>2202</v>
      </c>
      <c r="D1123" s="44"/>
      <c r="E1123" s="62" t="s">
        <v>14</v>
      </c>
      <c r="F1123" s="44"/>
      <c r="G1123" s="44"/>
      <c r="H1123" s="46">
        <v>21</v>
      </c>
      <c r="I1123" s="47" t="s">
        <v>15</v>
      </c>
    </row>
    <row r="1124" spans="1:9" ht="46.8">
      <c r="A1124" s="15">
        <v>7551377</v>
      </c>
      <c r="B1124" s="8" t="s">
        <v>2203</v>
      </c>
      <c r="C1124" s="16" t="s">
        <v>2204</v>
      </c>
      <c r="D1124" s="12"/>
      <c r="E1124" s="17" t="s">
        <v>14</v>
      </c>
      <c r="F1124" s="12"/>
      <c r="G1124" s="12"/>
      <c r="H1124" s="13">
        <v>21</v>
      </c>
      <c r="I1124" s="14" t="s">
        <v>15</v>
      </c>
    </row>
    <row r="1125" spans="1:9" ht="46.8">
      <c r="A1125" s="15" t="s">
        <v>2205</v>
      </c>
      <c r="B1125" s="8" t="s">
        <v>2206</v>
      </c>
      <c r="C1125" s="35" t="s">
        <v>2207</v>
      </c>
      <c r="D1125" s="17" t="s">
        <v>220</v>
      </c>
      <c r="E1125" s="18" t="s">
        <v>14</v>
      </c>
      <c r="F1125" s="12"/>
      <c r="G1125" s="12"/>
      <c r="H1125" s="13">
        <v>21</v>
      </c>
      <c r="I1125" s="23" t="s">
        <v>11</v>
      </c>
    </row>
    <row r="1126" spans="1:9" ht="46.8">
      <c r="A1126" s="15" t="s">
        <v>2208</v>
      </c>
      <c r="B1126" s="8" t="s">
        <v>2209</v>
      </c>
      <c r="C1126" s="35" t="s">
        <v>2210</v>
      </c>
      <c r="D1126" s="17" t="s">
        <v>220</v>
      </c>
      <c r="E1126" s="18" t="s">
        <v>14</v>
      </c>
      <c r="F1126" s="12"/>
      <c r="G1126" s="12"/>
      <c r="H1126" s="13">
        <v>21</v>
      </c>
      <c r="I1126" s="23" t="s">
        <v>11</v>
      </c>
    </row>
    <row r="1127" spans="1:9" ht="31.2">
      <c r="A1127" s="41" t="s">
        <v>332</v>
      </c>
      <c r="B1127" s="42" t="s">
        <v>2211</v>
      </c>
      <c r="C1127" s="43" t="s">
        <v>2212</v>
      </c>
      <c r="D1127" s="44"/>
      <c r="E1127" s="62" t="s">
        <v>14</v>
      </c>
      <c r="F1127" s="44"/>
      <c r="G1127" s="44"/>
      <c r="H1127" s="46">
        <v>21</v>
      </c>
      <c r="I1127" s="47" t="s">
        <v>15</v>
      </c>
    </row>
    <row r="1128" spans="1:9" ht="31.2">
      <c r="A1128" s="41" t="s">
        <v>332</v>
      </c>
      <c r="B1128" s="42" t="s">
        <v>2213</v>
      </c>
      <c r="C1128" s="43" t="s">
        <v>2214</v>
      </c>
      <c r="D1128" s="44"/>
      <c r="E1128" s="62" t="s">
        <v>14</v>
      </c>
      <c r="F1128" s="44"/>
      <c r="G1128" s="44"/>
      <c r="H1128" s="46">
        <v>21</v>
      </c>
      <c r="I1128" s="47" t="s">
        <v>15</v>
      </c>
    </row>
    <row r="1129" spans="1:9" ht="31.2">
      <c r="A1129" s="15">
        <v>608034</v>
      </c>
      <c r="B1129" s="8" t="s">
        <v>2215</v>
      </c>
      <c r="C1129" s="16" t="s">
        <v>2216</v>
      </c>
      <c r="D1129" s="12"/>
      <c r="E1129" s="17" t="s">
        <v>14</v>
      </c>
      <c r="F1129" s="12"/>
      <c r="G1129" s="12"/>
      <c r="H1129" s="13">
        <v>129</v>
      </c>
      <c r="I1129" s="14" t="s">
        <v>15</v>
      </c>
    </row>
    <row r="1130" spans="1:9" ht="31.2">
      <c r="A1130" s="41" t="s">
        <v>332</v>
      </c>
      <c r="B1130" s="42" t="s">
        <v>2217</v>
      </c>
      <c r="C1130" s="43" t="s">
        <v>2218</v>
      </c>
      <c r="D1130" s="44"/>
      <c r="E1130" s="62" t="s">
        <v>14</v>
      </c>
      <c r="F1130" s="44"/>
      <c r="G1130" s="44"/>
      <c r="H1130" s="46">
        <v>287</v>
      </c>
      <c r="I1130" s="47" t="s">
        <v>15</v>
      </c>
    </row>
    <row r="1131" spans="1:9" ht="46.8">
      <c r="A1131" s="15">
        <v>580015</v>
      </c>
      <c r="B1131" s="8" t="s">
        <v>2219</v>
      </c>
      <c r="C1131" s="16" t="s">
        <v>2220</v>
      </c>
      <c r="D1131" s="17" t="s">
        <v>220</v>
      </c>
      <c r="E1131" s="17" t="s">
        <v>14</v>
      </c>
      <c r="F1131" s="12"/>
      <c r="G1131" s="12"/>
      <c r="H1131" s="13">
        <v>21</v>
      </c>
      <c r="I1131" s="14" t="s">
        <v>15</v>
      </c>
    </row>
    <row r="1132" spans="1:9" ht="31.2">
      <c r="A1132" s="15">
        <v>4532658</v>
      </c>
      <c r="B1132" s="8" t="s">
        <v>2221</v>
      </c>
      <c r="C1132" s="16" t="s">
        <v>2222</v>
      </c>
      <c r="D1132" s="12"/>
      <c r="E1132" s="17" t="s">
        <v>14</v>
      </c>
      <c r="F1132" s="11" t="s">
        <v>43</v>
      </c>
      <c r="G1132" s="12"/>
      <c r="H1132" s="13">
        <v>58</v>
      </c>
      <c r="I1132" s="14" t="s">
        <v>15</v>
      </c>
    </row>
    <row r="1133" spans="1:9" ht="46.8">
      <c r="A1133" s="15" t="s">
        <v>2223</v>
      </c>
      <c r="B1133" s="8" t="s">
        <v>2224</v>
      </c>
      <c r="C1133" s="48" t="s">
        <v>2225</v>
      </c>
      <c r="D1133" s="12"/>
      <c r="E1133" s="17" t="s">
        <v>14</v>
      </c>
      <c r="F1133" s="12"/>
      <c r="G1133" s="12"/>
      <c r="H1133" s="13">
        <v>85</v>
      </c>
      <c r="I1133" s="23" t="s">
        <v>11</v>
      </c>
    </row>
    <row r="1134" spans="1:9" ht="46.8">
      <c r="A1134" s="41" t="s">
        <v>332</v>
      </c>
      <c r="B1134" s="42" t="s">
        <v>2226</v>
      </c>
      <c r="C1134" s="43" t="s">
        <v>2227</v>
      </c>
      <c r="D1134" s="44"/>
      <c r="E1134" s="44"/>
      <c r="F1134" s="61" t="s">
        <v>43</v>
      </c>
      <c r="G1134" s="44"/>
      <c r="H1134" s="46">
        <v>21</v>
      </c>
      <c r="I1134" s="47" t="s">
        <v>15</v>
      </c>
    </row>
    <row r="1135" spans="1:9" ht="31.2">
      <c r="A1135" s="15" t="s">
        <v>2228</v>
      </c>
      <c r="B1135" s="8" t="s">
        <v>2229</v>
      </c>
      <c r="C1135" s="35" t="s">
        <v>2230</v>
      </c>
      <c r="D1135" s="17" t="s">
        <v>220</v>
      </c>
      <c r="E1135" s="17" t="s">
        <v>14</v>
      </c>
      <c r="F1135" s="11" t="s">
        <v>1489</v>
      </c>
      <c r="G1135" s="12"/>
      <c r="H1135" s="13">
        <v>21</v>
      </c>
      <c r="I1135" s="23" t="s">
        <v>11</v>
      </c>
    </row>
    <row r="1136" spans="1:9" ht="46.8">
      <c r="A1136" s="15">
        <v>4707488</v>
      </c>
      <c r="B1136" s="8" t="s">
        <v>2231</v>
      </c>
      <c r="C1136" s="16" t="s">
        <v>2232</v>
      </c>
      <c r="D1136" s="12"/>
      <c r="E1136" s="17" t="s">
        <v>14</v>
      </c>
      <c r="F1136" s="12"/>
      <c r="G1136" s="12"/>
      <c r="H1136" s="13">
        <v>21</v>
      </c>
      <c r="I1136" s="14" t="s">
        <v>15</v>
      </c>
    </row>
    <row r="1137" spans="1:9" ht="46.8">
      <c r="A1137" s="15" t="s">
        <v>2233</v>
      </c>
      <c r="B1137" s="8" t="s">
        <v>2234</v>
      </c>
      <c r="C1137" s="16" t="s">
        <v>2235</v>
      </c>
      <c r="D1137" s="12"/>
      <c r="E1137" s="17" t="s">
        <v>14</v>
      </c>
      <c r="F1137" s="12"/>
      <c r="G1137" s="12"/>
      <c r="H1137" s="13">
        <v>21</v>
      </c>
      <c r="I1137" s="14" t="s">
        <v>15</v>
      </c>
    </row>
    <row r="1138" spans="1:9" ht="46.8">
      <c r="A1138" s="15">
        <v>2279475</v>
      </c>
      <c r="B1138" s="8" t="s">
        <v>2236</v>
      </c>
      <c r="C1138" s="16" t="s">
        <v>2237</v>
      </c>
      <c r="D1138" s="12"/>
      <c r="E1138" s="17" t="s">
        <v>14</v>
      </c>
      <c r="F1138" s="11" t="s">
        <v>43</v>
      </c>
      <c r="G1138" s="12"/>
      <c r="H1138" s="13">
        <v>21</v>
      </c>
      <c r="I1138" s="14" t="s">
        <v>15</v>
      </c>
    </row>
    <row r="1139" spans="1:9" ht="46.8">
      <c r="A1139" s="15">
        <v>4672277</v>
      </c>
      <c r="B1139" s="8" t="s">
        <v>2238</v>
      </c>
      <c r="C1139" s="16" t="s">
        <v>2239</v>
      </c>
      <c r="D1139" s="12"/>
      <c r="E1139" s="17" t="s">
        <v>14</v>
      </c>
      <c r="F1139" s="11" t="s">
        <v>43</v>
      </c>
      <c r="G1139" s="12"/>
      <c r="H1139" s="13">
        <v>21</v>
      </c>
      <c r="I1139" s="14" t="s">
        <v>15</v>
      </c>
    </row>
    <row r="1140" spans="1:9" ht="46.8">
      <c r="A1140" s="15" t="s">
        <v>2240</v>
      </c>
      <c r="B1140" s="8" t="s">
        <v>2241</v>
      </c>
      <c r="C1140" s="16" t="s">
        <v>2242</v>
      </c>
      <c r="D1140" s="12"/>
      <c r="E1140" s="17" t="s">
        <v>14</v>
      </c>
      <c r="F1140" s="11" t="s">
        <v>43</v>
      </c>
      <c r="G1140" s="12"/>
      <c r="H1140" s="13">
        <v>21</v>
      </c>
      <c r="I1140" s="14" t="s">
        <v>15</v>
      </c>
    </row>
    <row r="1141" spans="1:9" ht="46.8">
      <c r="A1141" s="15" t="s">
        <v>2243</v>
      </c>
      <c r="B1141" s="8" t="s">
        <v>2244</v>
      </c>
      <c r="C1141" s="16" t="s">
        <v>2245</v>
      </c>
      <c r="D1141" s="12"/>
      <c r="E1141" s="17" t="s">
        <v>14</v>
      </c>
      <c r="F1141" s="11" t="s">
        <v>43</v>
      </c>
      <c r="G1141" s="12"/>
      <c r="H1141" s="13">
        <v>21</v>
      </c>
      <c r="I1141" s="14" t="s">
        <v>15</v>
      </c>
    </row>
    <row r="1142" spans="1:9" ht="62.4">
      <c r="A1142" s="15">
        <v>3799184</v>
      </c>
      <c r="B1142" s="8" t="s">
        <v>2246</v>
      </c>
      <c r="C1142" s="16" t="s">
        <v>2247</v>
      </c>
      <c r="D1142" s="12"/>
      <c r="E1142" s="17" t="s">
        <v>14</v>
      </c>
      <c r="F1142" s="12"/>
      <c r="G1142" s="12"/>
      <c r="H1142" s="13">
        <v>21</v>
      </c>
      <c r="I1142" s="14" t="s">
        <v>15</v>
      </c>
    </row>
    <row r="1143" spans="1:9" ht="62.4">
      <c r="A1143" s="15">
        <v>268520</v>
      </c>
      <c r="B1143" s="8" t="s">
        <v>2248</v>
      </c>
      <c r="C1143" s="16" t="s">
        <v>2249</v>
      </c>
      <c r="D1143" s="12"/>
      <c r="E1143" s="17" t="s">
        <v>14</v>
      </c>
      <c r="F1143" s="11" t="str">
        <f>HYPERLINK("https://www.familysearch.org/search/catalog/1375990","FamilySearch.org")</f>
        <v>FamilySearch.org</v>
      </c>
      <c r="G1143" s="12"/>
      <c r="H1143" s="13">
        <v>75</v>
      </c>
      <c r="I1143" s="14" t="s">
        <v>15</v>
      </c>
    </row>
    <row r="1144" spans="1:9" ht="46.8">
      <c r="A1144" s="15" t="s">
        <v>2250</v>
      </c>
      <c r="B1144" s="8" t="s">
        <v>2251</v>
      </c>
      <c r="C1144" s="35" t="s">
        <v>2252</v>
      </c>
      <c r="D1144" s="17" t="s">
        <v>220</v>
      </c>
      <c r="E1144" s="12"/>
      <c r="F1144" s="12"/>
      <c r="G1144" s="12"/>
      <c r="H1144" s="13">
        <v>243</v>
      </c>
      <c r="I1144" s="23" t="s">
        <v>11</v>
      </c>
    </row>
    <row r="1145" spans="1:9" ht="31.2">
      <c r="A1145" s="15">
        <v>566157</v>
      </c>
      <c r="B1145" s="8" t="s">
        <v>2253</v>
      </c>
      <c r="C1145" s="35" t="s">
        <v>2254</v>
      </c>
      <c r="D1145" s="17" t="s">
        <v>220</v>
      </c>
      <c r="E1145" s="17" t="s">
        <v>14</v>
      </c>
      <c r="F1145" s="12"/>
      <c r="G1145" s="12"/>
      <c r="H1145" s="13">
        <v>217</v>
      </c>
      <c r="I1145" s="23" t="s">
        <v>11</v>
      </c>
    </row>
    <row r="1146" spans="1:9" ht="31.2">
      <c r="A1146" s="15">
        <v>577134</v>
      </c>
      <c r="B1146" s="8" t="s">
        <v>2255</v>
      </c>
      <c r="C1146" s="16" t="s">
        <v>2256</v>
      </c>
      <c r="D1146" s="11" t="s">
        <v>220</v>
      </c>
      <c r="E1146" s="12"/>
      <c r="F1146" s="12"/>
      <c r="G1146" s="12"/>
      <c r="H1146" s="13">
        <v>94</v>
      </c>
      <c r="I1146" s="14" t="s">
        <v>15</v>
      </c>
    </row>
    <row r="1147" spans="1:9" ht="46.8">
      <c r="A1147" s="15">
        <v>71974183</v>
      </c>
      <c r="B1147" s="8" t="s">
        <v>2257</v>
      </c>
      <c r="C1147" s="16" t="s">
        <v>2258</v>
      </c>
      <c r="D1147" s="17" t="s">
        <v>220</v>
      </c>
      <c r="E1147" s="17" t="s">
        <v>14</v>
      </c>
      <c r="F1147" s="11" t="s">
        <v>43</v>
      </c>
      <c r="G1147" s="12"/>
      <c r="H1147" s="20">
        <v>21</v>
      </c>
      <c r="I1147" s="14" t="s">
        <v>15</v>
      </c>
    </row>
    <row r="1148" spans="1:9" ht="46.8">
      <c r="A1148" s="15">
        <v>59580301</v>
      </c>
      <c r="B1148" s="8" t="s">
        <v>2259</v>
      </c>
      <c r="C1148" s="35" t="s">
        <v>2260</v>
      </c>
      <c r="D1148" s="17" t="s">
        <v>220</v>
      </c>
      <c r="E1148" s="17" t="s">
        <v>14</v>
      </c>
      <c r="F1148" s="11" t="s">
        <v>43</v>
      </c>
      <c r="G1148" s="12"/>
      <c r="H1148" s="13">
        <v>21</v>
      </c>
      <c r="I1148" s="23" t="s">
        <v>11</v>
      </c>
    </row>
    <row r="1149" spans="1:9" ht="46.8">
      <c r="A1149" s="15">
        <v>4757903</v>
      </c>
      <c r="B1149" s="8" t="s">
        <v>2261</v>
      </c>
      <c r="C1149" s="35" t="s">
        <v>2262</v>
      </c>
      <c r="D1149" s="17" t="s">
        <v>220</v>
      </c>
      <c r="E1149" s="17" t="s">
        <v>14</v>
      </c>
      <c r="F1149" s="11" t="s">
        <v>43</v>
      </c>
      <c r="G1149" s="12"/>
      <c r="H1149" s="13">
        <v>21</v>
      </c>
      <c r="I1149" s="23" t="s">
        <v>11</v>
      </c>
    </row>
    <row r="1150" spans="1:9" ht="46.8">
      <c r="A1150" s="15">
        <v>5722478</v>
      </c>
      <c r="B1150" s="8" t="s">
        <v>2263</v>
      </c>
      <c r="C1150" s="35" t="s">
        <v>2264</v>
      </c>
      <c r="D1150" s="17" t="s">
        <v>220</v>
      </c>
      <c r="E1150" s="17" t="s">
        <v>14</v>
      </c>
      <c r="F1150" s="11" t="s">
        <v>43</v>
      </c>
      <c r="G1150" s="12"/>
      <c r="H1150" s="13">
        <v>21</v>
      </c>
      <c r="I1150" s="23" t="s">
        <v>11</v>
      </c>
    </row>
    <row r="1151" spans="1:9" ht="31.2">
      <c r="A1151" s="15">
        <v>648094</v>
      </c>
      <c r="B1151" s="8" t="s">
        <v>2265</v>
      </c>
      <c r="C1151" s="16" t="s">
        <v>2266</v>
      </c>
      <c r="D1151" s="17" t="s">
        <v>220</v>
      </c>
      <c r="E1151" s="17" t="s">
        <v>14</v>
      </c>
      <c r="F1151" s="12"/>
      <c r="G1151" s="12"/>
      <c r="H1151" s="13">
        <v>331</v>
      </c>
      <c r="I1151" s="14" t="s">
        <v>15</v>
      </c>
    </row>
    <row r="1152" spans="1:9" ht="62.4">
      <c r="A1152" s="15" t="s">
        <v>2267</v>
      </c>
      <c r="B1152" s="8" t="s">
        <v>2268</v>
      </c>
      <c r="C1152" s="16" t="s">
        <v>2269</v>
      </c>
      <c r="D1152" s="12"/>
      <c r="E1152" s="17" t="s">
        <v>14</v>
      </c>
      <c r="F1152" s="11" t="s">
        <v>43</v>
      </c>
      <c r="G1152" s="12"/>
      <c r="H1152" s="13">
        <v>21</v>
      </c>
      <c r="I1152" s="14" t="s">
        <v>15</v>
      </c>
    </row>
    <row r="1153" spans="1:9" ht="31.2">
      <c r="A1153" s="15">
        <v>605894</v>
      </c>
      <c r="B1153" s="8" t="s">
        <v>2270</v>
      </c>
      <c r="C1153" s="35" t="s">
        <v>2271</v>
      </c>
      <c r="D1153" s="11" t="s">
        <v>220</v>
      </c>
      <c r="E1153" s="12"/>
      <c r="F1153" s="12"/>
      <c r="G1153" s="12"/>
      <c r="H1153" s="13">
        <v>217</v>
      </c>
      <c r="I1153" s="23" t="s">
        <v>11</v>
      </c>
    </row>
    <row r="1154" spans="1:9" ht="31.2">
      <c r="A1154" s="15">
        <v>1184856</v>
      </c>
      <c r="B1154" s="8" t="s">
        <v>2272</v>
      </c>
      <c r="C1154" s="16" t="s">
        <v>2273</v>
      </c>
      <c r="D1154" s="12"/>
      <c r="E1154" s="17" t="s">
        <v>14</v>
      </c>
      <c r="F1154" s="12"/>
      <c r="G1154" s="12"/>
      <c r="H1154" s="13">
        <v>94</v>
      </c>
      <c r="I1154" s="14" t="s">
        <v>15</v>
      </c>
    </row>
    <row r="1155" spans="1:9" ht="31.2">
      <c r="A1155" s="28" t="str">
        <f>HYPERLINK("https://catalog.archives.gov/search?q=M1749&amp;f.level=series&amp;f.recordGroupNoCollectionId=15","Various")</f>
        <v>Various</v>
      </c>
      <c r="B1155" s="8" t="s">
        <v>2274</v>
      </c>
      <c r="C1155" s="16" t="s">
        <v>2275</v>
      </c>
      <c r="D1155" s="12"/>
      <c r="E1155" s="17" t="s">
        <v>14</v>
      </c>
      <c r="F1155" s="11" t="s">
        <v>43</v>
      </c>
      <c r="G1155" s="12"/>
      <c r="H1155" s="13">
        <v>15</v>
      </c>
      <c r="I1155" s="14" t="s">
        <v>15</v>
      </c>
    </row>
    <row r="1156" spans="1:9" ht="15.6">
      <c r="A1156" s="15">
        <v>305243</v>
      </c>
      <c r="B1156" s="8" t="s">
        <v>2276</v>
      </c>
      <c r="C1156" s="35" t="s">
        <v>2277</v>
      </c>
      <c r="D1156" s="17" t="s">
        <v>220</v>
      </c>
      <c r="E1156" s="12"/>
      <c r="F1156" s="12"/>
      <c r="G1156" s="12"/>
      <c r="H1156" s="13">
        <v>38</v>
      </c>
      <c r="I1156" s="23" t="s">
        <v>11</v>
      </c>
    </row>
    <row r="1157" spans="1:9" ht="31.2">
      <c r="A1157" s="15" t="s">
        <v>2278</v>
      </c>
      <c r="B1157" s="8" t="s">
        <v>2279</v>
      </c>
      <c r="C1157" s="16" t="s">
        <v>2280</v>
      </c>
      <c r="D1157" s="17" t="s">
        <v>220</v>
      </c>
      <c r="E1157" s="12"/>
      <c r="F1157" s="12"/>
      <c r="G1157" s="12"/>
      <c r="H1157" s="13">
        <v>21</v>
      </c>
      <c r="I1157" s="14" t="s">
        <v>15</v>
      </c>
    </row>
    <row r="1158" spans="1:9" ht="46.8">
      <c r="A1158" s="15">
        <v>4529406</v>
      </c>
      <c r="B1158" s="8" t="s">
        <v>2281</v>
      </c>
      <c r="C1158" s="35" t="s">
        <v>2282</v>
      </c>
      <c r="D1158" s="12"/>
      <c r="E1158" s="17" t="s">
        <v>14</v>
      </c>
      <c r="F1158" s="12"/>
      <c r="G1158" s="12"/>
      <c r="H1158" s="13">
        <v>85</v>
      </c>
      <c r="I1158" s="23" t="s">
        <v>11</v>
      </c>
    </row>
    <row r="1159" spans="1:9" ht="46.8">
      <c r="A1159" s="15" t="s">
        <v>2283</v>
      </c>
      <c r="B1159" s="8" t="s">
        <v>2284</v>
      </c>
      <c r="C1159" s="16" t="s">
        <v>2285</v>
      </c>
      <c r="D1159" s="12"/>
      <c r="E1159" s="17" t="s">
        <v>14</v>
      </c>
      <c r="F1159" s="11" t="s">
        <v>43</v>
      </c>
      <c r="G1159" s="12"/>
      <c r="H1159" s="13">
        <v>85</v>
      </c>
      <c r="I1159" s="14" t="s">
        <v>15</v>
      </c>
    </row>
    <row r="1160" spans="1:9" ht="46.8">
      <c r="A1160" s="15">
        <v>4529421</v>
      </c>
      <c r="B1160" s="8" t="s">
        <v>2286</v>
      </c>
      <c r="C1160" s="16" t="s">
        <v>2287</v>
      </c>
      <c r="D1160" s="12"/>
      <c r="E1160" s="17" t="s">
        <v>14</v>
      </c>
      <c r="F1160" s="12"/>
      <c r="G1160" s="12"/>
      <c r="H1160" s="13">
        <v>85</v>
      </c>
      <c r="I1160" s="14" t="s">
        <v>15</v>
      </c>
    </row>
    <row r="1161" spans="1:9" ht="46.8">
      <c r="A1161" s="15">
        <v>4529425</v>
      </c>
      <c r="B1161" s="8" t="s">
        <v>2288</v>
      </c>
      <c r="C1161" s="35" t="s">
        <v>2289</v>
      </c>
      <c r="D1161" s="12"/>
      <c r="E1161" s="17" t="s">
        <v>14</v>
      </c>
      <c r="F1161" s="11" t="s">
        <v>43</v>
      </c>
      <c r="G1161" s="12"/>
      <c r="H1161" s="13">
        <v>85</v>
      </c>
      <c r="I1161" s="23" t="s">
        <v>11</v>
      </c>
    </row>
    <row r="1162" spans="1:9" ht="46.8">
      <c r="A1162" s="15">
        <v>4529444</v>
      </c>
      <c r="B1162" s="8" t="s">
        <v>2290</v>
      </c>
      <c r="C1162" s="16" t="s">
        <v>2291</v>
      </c>
      <c r="D1162" s="12"/>
      <c r="E1162" s="17" t="s">
        <v>14</v>
      </c>
      <c r="F1162" s="12"/>
      <c r="G1162" s="12"/>
      <c r="H1162" s="13">
        <v>85</v>
      </c>
      <c r="I1162" s="14" t="s">
        <v>15</v>
      </c>
    </row>
    <row r="1163" spans="1:9" ht="46.8">
      <c r="A1163" s="7" t="s">
        <v>2292</v>
      </c>
      <c r="B1163" s="8" t="s">
        <v>2293</v>
      </c>
      <c r="C1163" s="35" t="s">
        <v>2294</v>
      </c>
      <c r="D1163" s="12"/>
      <c r="E1163" s="17" t="s">
        <v>14</v>
      </c>
      <c r="F1163" s="11" t="s">
        <v>43</v>
      </c>
      <c r="G1163" s="12"/>
      <c r="H1163" s="13">
        <v>85</v>
      </c>
      <c r="I1163" s="23" t="s">
        <v>18</v>
      </c>
    </row>
    <row r="1164" spans="1:9" ht="31.2">
      <c r="A1164" s="15">
        <v>566157</v>
      </c>
      <c r="B1164" s="8" t="s">
        <v>2295</v>
      </c>
      <c r="C1164" s="35" t="s">
        <v>2296</v>
      </c>
      <c r="D1164" s="17" t="s">
        <v>220</v>
      </c>
      <c r="E1164" s="17" t="s">
        <v>14</v>
      </c>
      <c r="F1164" s="12"/>
      <c r="G1164" s="12"/>
      <c r="H1164" s="13">
        <v>217</v>
      </c>
      <c r="I1164" s="23" t="s">
        <v>11</v>
      </c>
    </row>
    <row r="1165" spans="1:9" ht="46.8">
      <c r="A1165" s="15">
        <v>4486355</v>
      </c>
      <c r="B1165" s="8" t="s">
        <v>2297</v>
      </c>
      <c r="C1165" s="16" t="s">
        <v>2298</v>
      </c>
      <c r="D1165" s="12"/>
      <c r="E1165" s="17" t="s">
        <v>14</v>
      </c>
      <c r="F1165" s="11" t="s">
        <v>43</v>
      </c>
      <c r="G1165" s="12"/>
      <c r="H1165" s="13">
        <v>85</v>
      </c>
      <c r="I1165" s="14" t="s">
        <v>15</v>
      </c>
    </row>
    <row r="1166" spans="1:9" ht="31.2">
      <c r="A1166" s="15">
        <v>4529628</v>
      </c>
      <c r="B1166" s="8" t="s">
        <v>2299</v>
      </c>
      <c r="C1166" s="16" t="s">
        <v>2300</v>
      </c>
      <c r="D1166" s="12"/>
      <c r="E1166" s="17" t="s">
        <v>14</v>
      </c>
      <c r="F1166" s="12"/>
      <c r="G1166" s="12"/>
      <c r="H1166" s="13">
        <v>85</v>
      </c>
      <c r="I1166" s="14" t="s">
        <v>15</v>
      </c>
    </row>
    <row r="1167" spans="1:9" ht="46.8">
      <c r="A1167" s="15">
        <v>4486361</v>
      </c>
      <c r="B1167" s="8" t="s">
        <v>2301</v>
      </c>
      <c r="C1167" s="16" t="s">
        <v>2302</v>
      </c>
      <c r="D1167" s="12"/>
      <c r="E1167" s="17" t="s">
        <v>14</v>
      </c>
      <c r="F1167" s="12"/>
      <c r="G1167" s="12"/>
      <c r="H1167" s="13">
        <v>85</v>
      </c>
      <c r="I1167" s="14" t="s">
        <v>15</v>
      </c>
    </row>
    <row r="1168" spans="1:9" ht="31.2">
      <c r="A1168" s="15">
        <v>4529660</v>
      </c>
      <c r="B1168" s="8" t="s">
        <v>2303</v>
      </c>
      <c r="C1168" s="16" t="s">
        <v>2304</v>
      </c>
      <c r="D1168" s="12"/>
      <c r="E1168" s="17" t="s">
        <v>14</v>
      </c>
      <c r="F1168" s="12"/>
      <c r="G1168" s="12"/>
      <c r="H1168" s="13">
        <v>85</v>
      </c>
      <c r="I1168" s="14" t="s">
        <v>15</v>
      </c>
    </row>
    <row r="1169" spans="1:9" ht="31.2">
      <c r="A1169" s="15">
        <v>4486390</v>
      </c>
      <c r="B1169" s="8" t="s">
        <v>2305</v>
      </c>
      <c r="C1169" s="16" t="s">
        <v>2306</v>
      </c>
      <c r="D1169" s="12"/>
      <c r="E1169" s="17" t="s">
        <v>14</v>
      </c>
      <c r="F1169" s="12"/>
      <c r="G1169" s="12"/>
      <c r="H1169" s="13">
        <v>85</v>
      </c>
      <c r="I1169" s="14" t="s">
        <v>15</v>
      </c>
    </row>
    <row r="1170" spans="1:9" ht="31.2">
      <c r="A1170" s="15">
        <v>4486397</v>
      </c>
      <c r="B1170" s="8" t="s">
        <v>2307</v>
      </c>
      <c r="C1170" s="16" t="s">
        <v>2308</v>
      </c>
      <c r="D1170" s="12"/>
      <c r="E1170" s="17" t="s">
        <v>14</v>
      </c>
      <c r="F1170" s="12"/>
      <c r="G1170" s="12"/>
      <c r="H1170" s="13">
        <v>85</v>
      </c>
      <c r="I1170" s="14" t="s">
        <v>15</v>
      </c>
    </row>
    <row r="1171" spans="1:9" ht="46.8">
      <c r="A1171" s="15">
        <v>4529715</v>
      </c>
      <c r="B1171" s="8" t="s">
        <v>2309</v>
      </c>
      <c r="C1171" s="16" t="s">
        <v>2310</v>
      </c>
      <c r="D1171" s="12"/>
      <c r="E1171" s="17" t="s">
        <v>14</v>
      </c>
      <c r="F1171" s="12"/>
      <c r="G1171" s="12"/>
      <c r="H1171" s="13">
        <v>85</v>
      </c>
      <c r="I1171" s="14" t="s">
        <v>15</v>
      </c>
    </row>
    <row r="1172" spans="1:9" ht="46.8">
      <c r="A1172" s="15">
        <v>4529723</v>
      </c>
      <c r="B1172" s="8" t="s">
        <v>2311</v>
      </c>
      <c r="C1172" s="16" t="s">
        <v>2312</v>
      </c>
      <c r="D1172" s="12"/>
      <c r="E1172" s="17" t="s">
        <v>14</v>
      </c>
      <c r="F1172" s="12"/>
      <c r="G1172" s="12"/>
      <c r="H1172" s="13">
        <v>85</v>
      </c>
      <c r="I1172" s="14" t="s">
        <v>15</v>
      </c>
    </row>
    <row r="1173" spans="1:9" ht="62.4">
      <c r="A1173" s="15">
        <v>4529739</v>
      </c>
      <c r="B1173" s="8" t="s">
        <v>2313</v>
      </c>
      <c r="C1173" s="35" t="s">
        <v>2314</v>
      </c>
      <c r="D1173" s="12"/>
      <c r="E1173" s="17" t="s">
        <v>14</v>
      </c>
      <c r="F1173" s="11" t="str">
        <f>HYPERLINK("https://www.familysearch.org/search/catalog/2141045?availability=Family%20History%20Library","FamilySearch.org")</f>
        <v>FamilySearch.org</v>
      </c>
      <c r="G1173" s="12"/>
      <c r="H1173" s="13">
        <v>85</v>
      </c>
      <c r="I1173" s="23" t="s">
        <v>11</v>
      </c>
    </row>
    <row r="1174" spans="1:9" ht="31.2">
      <c r="A1174" s="41" t="s">
        <v>332</v>
      </c>
      <c r="B1174" s="42" t="s">
        <v>2315</v>
      </c>
      <c r="C1174" s="43" t="s">
        <v>2316</v>
      </c>
      <c r="D1174" s="44"/>
      <c r="E1174" s="62" t="s">
        <v>14</v>
      </c>
      <c r="F1174" s="44"/>
      <c r="G1174" s="44"/>
      <c r="H1174" s="46">
        <v>58</v>
      </c>
      <c r="I1174" s="47" t="s">
        <v>15</v>
      </c>
    </row>
    <row r="1175" spans="1:9" ht="31.2">
      <c r="A1175" s="41" t="s">
        <v>332</v>
      </c>
      <c r="B1175" s="42" t="s">
        <v>2317</v>
      </c>
      <c r="C1175" s="43" t="s">
        <v>2318</v>
      </c>
      <c r="D1175" s="44"/>
      <c r="E1175" s="62" t="s">
        <v>14</v>
      </c>
      <c r="F1175" s="44"/>
      <c r="G1175" s="44"/>
      <c r="H1175" s="46">
        <v>58</v>
      </c>
      <c r="I1175" s="47" t="s">
        <v>15</v>
      </c>
    </row>
    <row r="1176" spans="1:9" ht="78">
      <c r="A1176" s="15">
        <v>4497940</v>
      </c>
      <c r="B1176" s="8" t="s">
        <v>2319</v>
      </c>
      <c r="C1176" s="35" t="s">
        <v>2320</v>
      </c>
      <c r="D1176" s="12"/>
      <c r="E1176" s="17" t="s">
        <v>14</v>
      </c>
      <c r="F1176" s="11" t="str">
        <f>HYPERLINK("https://www.familysearch.org/search/catalog/2822780?availability=Family%20History%20Library","FamilySearch.org")</f>
        <v>FamilySearch.org</v>
      </c>
      <c r="G1176" s="12"/>
      <c r="H1176" s="13">
        <v>85</v>
      </c>
      <c r="I1176" s="23" t="s">
        <v>11</v>
      </c>
    </row>
    <row r="1177" spans="1:9" ht="31.2">
      <c r="A1177" s="15">
        <v>4486561</v>
      </c>
      <c r="B1177" s="8" t="s">
        <v>2321</v>
      </c>
      <c r="C1177" s="73" t="str">
        <f>HYPERLINK("https://catalog.archives.gov/search?q=*:*&amp;f.ancestorNaIds=4486561&amp;sort=naIdSort%20asc","Agana, Guam, U.S., Passenger and Crew Lists of Arriving Vessels and Airplanes, 1948-1963")</f>
        <v>Agana, Guam, U.S., Passenger and Crew Lists of Arriving Vessels and Airplanes, 1948-1963</v>
      </c>
      <c r="D1177" s="12"/>
      <c r="E1177" s="17" t="s">
        <v>14</v>
      </c>
      <c r="F1177" s="11" t="s">
        <v>43</v>
      </c>
      <c r="G1177" s="12"/>
      <c r="H1177" s="13">
        <v>85</v>
      </c>
      <c r="I1177" s="23" t="s">
        <v>11</v>
      </c>
    </row>
    <row r="1178" spans="1:9" ht="31.2">
      <c r="A1178" s="15" t="s">
        <v>2322</v>
      </c>
      <c r="B1178" s="8" t="s">
        <v>2323</v>
      </c>
      <c r="C1178" s="35" t="s">
        <v>2324</v>
      </c>
      <c r="D1178" s="17" t="s">
        <v>220</v>
      </c>
      <c r="E1178" s="12"/>
      <c r="F1178" s="12"/>
      <c r="G1178" s="12"/>
      <c r="H1178" s="13">
        <v>239</v>
      </c>
      <c r="I1178" s="23" t="s">
        <v>11</v>
      </c>
    </row>
    <row r="1179" spans="1:9" ht="62.4">
      <c r="A1179" s="15">
        <v>2588478</v>
      </c>
      <c r="B1179" s="8" t="s">
        <v>2325</v>
      </c>
      <c r="C1179" s="16" t="s">
        <v>2326</v>
      </c>
      <c r="D1179" s="12"/>
      <c r="E1179" s="17" t="s">
        <v>14</v>
      </c>
      <c r="F1179" s="11" t="s">
        <v>43</v>
      </c>
      <c r="G1179" s="12"/>
      <c r="H1179" s="13">
        <v>15</v>
      </c>
      <c r="I1179" s="14" t="s">
        <v>15</v>
      </c>
    </row>
    <row r="1180" spans="1:9" ht="62.4">
      <c r="A1180" s="15">
        <v>2589163</v>
      </c>
      <c r="B1180" s="8" t="s">
        <v>2327</v>
      </c>
      <c r="C1180" s="35" t="s">
        <v>2328</v>
      </c>
      <c r="D1180" s="12"/>
      <c r="E1180" s="17" t="s">
        <v>14</v>
      </c>
      <c r="F1180" s="11" t="s">
        <v>43</v>
      </c>
      <c r="G1180" s="12"/>
      <c r="H1180" s="13">
        <v>15</v>
      </c>
      <c r="I1180" s="23" t="s">
        <v>11</v>
      </c>
    </row>
    <row r="1181" spans="1:9" ht="46.8">
      <c r="A1181" s="15">
        <v>2600769</v>
      </c>
      <c r="B1181" s="8" t="s">
        <v>2329</v>
      </c>
      <c r="C1181" s="37" t="s">
        <v>2330</v>
      </c>
      <c r="D1181" s="12"/>
      <c r="E1181" s="17" t="s">
        <v>14</v>
      </c>
      <c r="F1181" s="11"/>
      <c r="G1181" s="12"/>
      <c r="H1181" s="13">
        <v>15</v>
      </c>
      <c r="I1181" s="14" t="s">
        <v>15</v>
      </c>
    </row>
    <row r="1182" spans="1:9" ht="46.8">
      <c r="A1182" s="15">
        <v>300398</v>
      </c>
      <c r="B1182" s="8" t="s">
        <v>2331</v>
      </c>
      <c r="C1182" s="9" t="s">
        <v>2332</v>
      </c>
      <c r="D1182" s="17" t="s">
        <v>220</v>
      </c>
      <c r="E1182" s="17" t="s">
        <v>14</v>
      </c>
      <c r="F1182" s="11" t="s">
        <v>1489</v>
      </c>
      <c r="G1182" s="12"/>
      <c r="H1182" s="13">
        <v>94</v>
      </c>
      <c r="I1182" s="23" t="s">
        <v>18</v>
      </c>
    </row>
    <row r="1183" spans="1:9" ht="78">
      <c r="A1183" s="15" t="s">
        <v>2333</v>
      </c>
      <c r="B1183" s="8" t="s">
        <v>2334</v>
      </c>
      <c r="C1183" s="16" t="s">
        <v>2335</v>
      </c>
      <c r="D1183" s="12"/>
      <c r="E1183" s="17" t="s">
        <v>14</v>
      </c>
      <c r="F1183" s="11" t="str">
        <f>HYPERLINK("https://www.familysearch.org/wiki/en/Alaska,_Naturalization_Records_-_FamilySearch_Historical_Records","FamilySearch.com")</f>
        <v>FamilySearch.com</v>
      </c>
      <c r="G1183" s="12"/>
      <c r="H1183" s="13">
        <v>21</v>
      </c>
      <c r="I1183" s="14" t="s">
        <v>15</v>
      </c>
    </row>
    <row r="1184" spans="1:9" ht="46.8">
      <c r="A1184" s="15">
        <v>300398</v>
      </c>
      <c r="B1184" s="8" t="s">
        <v>2336</v>
      </c>
      <c r="C1184" s="9" t="s">
        <v>2337</v>
      </c>
      <c r="D1184" s="17" t="s">
        <v>220</v>
      </c>
      <c r="E1184" s="17" t="s">
        <v>14</v>
      </c>
      <c r="F1184" s="11" t="s">
        <v>1489</v>
      </c>
      <c r="G1184" s="12"/>
      <c r="H1184" s="13">
        <v>94</v>
      </c>
      <c r="I1184" s="23" t="s">
        <v>18</v>
      </c>
    </row>
    <row r="1185" spans="1:9" ht="31.2">
      <c r="A1185" s="15">
        <v>2790873</v>
      </c>
      <c r="B1185" s="8" t="s">
        <v>2338</v>
      </c>
      <c r="C1185" s="35" t="s">
        <v>2339</v>
      </c>
      <c r="D1185" s="12"/>
      <c r="E1185" s="17" t="s">
        <v>14</v>
      </c>
      <c r="F1185" s="12"/>
      <c r="G1185" s="12"/>
      <c r="H1185" s="13">
        <v>29</v>
      </c>
      <c r="I1185" s="23" t="s">
        <v>11</v>
      </c>
    </row>
    <row r="1186" spans="1:9" ht="62.4">
      <c r="A1186" s="15">
        <v>300398</v>
      </c>
      <c r="B1186" s="8" t="s">
        <v>2340</v>
      </c>
      <c r="C1186" s="9" t="s">
        <v>2341</v>
      </c>
      <c r="D1186" s="11" t="s">
        <v>220</v>
      </c>
      <c r="E1186" s="17" t="s">
        <v>14</v>
      </c>
      <c r="F1186" s="12"/>
      <c r="G1186" s="12"/>
      <c r="H1186" s="13">
        <v>94</v>
      </c>
      <c r="I1186" s="23" t="s">
        <v>11</v>
      </c>
    </row>
    <row r="1187" spans="1:9" ht="78">
      <c r="A1187" s="15">
        <v>147968170</v>
      </c>
      <c r="B1187" s="8" t="s">
        <v>2342</v>
      </c>
      <c r="C1187" s="35" t="s">
        <v>2343</v>
      </c>
      <c r="D1187" s="12"/>
      <c r="E1187" s="17" t="s">
        <v>14</v>
      </c>
      <c r="F1187" s="12"/>
      <c r="G1187" s="12"/>
      <c r="H1187" s="13">
        <v>29</v>
      </c>
      <c r="I1187" s="23" t="s">
        <v>11</v>
      </c>
    </row>
    <row r="1188" spans="1:9" ht="46.8">
      <c r="A1188" s="15">
        <v>300398</v>
      </c>
      <c r="B1188" s="8" t="s">
        <v>2344</v>
      </c>
      <c r="C1188" s="9" t="s">
        <v>2345</v>
      </c>
      <c r="D1188" s="11" t="str">
        <f>HYPERLINK("https://www.fold3.com/title/55/civil-war-soldiers-union-or","Fold3.com")</f>
        <v>Fold3.com</v>
      </c>
      <c r="E1188" s="17" t="s">
        <v>14</v>
      </c>
      <c r="F1188" s="11" t="s">
        <v>43</v>
      </c>
      <c r="G1188" s="12"/>
      <c r="H1188" s="13">
        <v>94</v>
      </c>
      <c r="I1188" s="23" t="s">
        <v>18</v>
      </c>
    </row>
    <row r="1189" spans="1:9" ht="93.6">
      <c r="A1189" s="15">
        <v>300398</v>
      </c>
      <c r="B1189" s="8" t="s">
        <v>2346</v>
      </c>
      <c r="C1189" s="9" t="s">
        <v>2347</v>
      </c>
      <c r="D1189" s="11" t="s">
        <v>220</v>
      </c>
      <c r="E1189" s="17" t="s">
        <v>14</v>
      </c>
      <c r="F1189" s="11" t="s">
        <v>1489</v>
      </c>
      <c r="G1189" s="12"/>
      <c r="H1189" s="13">
        <v>94</v>
      </c>
      <c r="I1189" s="23" t="s">
        <v>11</v>
      </c>
    </row>
    <row r="1190" spans="1:9" ht="62.4">
      <c r="A1190" s="15">
        <v>300398</v>
      </c>
      <c r="B1190" s="8" t="s">
        <v>2348</v>
      </c>
      <c r="C1190" s="9" t="s">
        <v>2349</v>
      </c>
      <c r="D1190" s="11" t="s">
        <v>220</v>
      </c>
      <c r="E1190" s="17" t="s">
        <v>14</v>
      </c>
      <c r="F1190" s="11" t="s">
        <v>1489</v>
      </c>
      <c r="G1190" s="12"/>
      <c r="H1190" s="13">
        <v>94</v>
      </c>
      <c r="I1190" s="23" t="s">
        <v>11</v>
      </c>
    </row>
    <row r="1191" spans="1:9" ht="93.6">
      <c r="A1191" s="15">
        <v>300398</v>
      </c>
      <c r="B1191" s="8" t="s">
        <v>2350</v>
      </c>
      <c r="C1191" s="9" t="s">
        <v>2351</v>
      </c>
      <c r="D1191" s="11" t="s">
        <v>220</v>
      </c>
      <c r="E1191" s="17" t="s">
        <v>14</v>
      </c>
      <c r="F1191" s="12"/>
      <c r="G1191" s="12"/>
      <c r="H1191" s="13">
        <v>94</v>
      </c>
      <c r="I1191" s="23" t="s">
        <v>11</v>
      </c>
    </row>
    <row r="1192" spans="1:9" ht="124.8">
      <c r="A1192" s="15">
        <v>300398</v>
      </c>
      <c r="B1192" s="8" t="s">
        <v>2352</v>
      </c>
      <c r="C1192" s="9" t="s">
        <v>2353</v>
      </c>
      <c r="D1192" s="11" t="s">
        <v>220</v>
      </c>
      <c r="E1192" s="17" t="s">
        <v>14</v>
      </c>
      <c r="F1192" s="11" t="s">
        <v>1489</v>
      </c>
      <c r="G1192" s="12"/>
      <c r="H1192" s="13">
        <v>94</v>
      </c>
      <c r="I1192" s="23" t="s">
        <v>18</v>
      </c>
    </row>
    <row r="1193" spans="1:9" ht="62.4">
      <c r="A1193" s="15">
        <v>300398</v>
      </c>
      <c r="B1193" s="8" t="s">
        <v>2354</v>
      </c>
      <c r="C1193" s="9" t="s">
        <v>2355</v>
      </c>
      <c r="D1193" s="11" t="s">
        <v>220</v>
      </c>
      <c r="E1193" s="17" t="s">
        <v>14</v>
      </c>
      <c r="F1193" s="12"/>
      <c r="G1193" s="12"/>
      <c r="H1193" s="13">
        <v>94</v>
      </c>
      <c r="I1193" s="23" t="s">
        <v>18</v>
      </c>
    </row>
    <row r="1194" spans="1:9" ht="62.4">
      <c r="A1194" s="15">
        <v>300398</v>
      </c>
      <c r="B1194" s="8" t="s">
        <v>2356</v>
      </c>
      <c r="C1194" s="9" t="s">
        <v>2357</v>
      </c>
      <c r="D1194" s="11" t="s">
        <v>220</v>
      </c>
      <c r="E1194" s="17" t="s">
        <v>14</v>
      </c>
      <c r="F1194" s="12"/>
      <c r="G1194" s="12"/>
      <c r="H1194" s="13">
        <v>94</v>
      </c>
      <c r="I1194" s="23" t="s">
        <v>11</v>
      </c>
    </row>
    <row r="1195" spans="1:9" ht="62.4">
      <c r="A1195" s="15">
        <v>300398</v>
      </c>
      <c r="B1195" s="8" t="s">
        <v>2358</v>
      </c>
      <c r="C1195" s="9" t="s">
        <v>2359</v>
      </c>
      <c r="D1195" s="11" t="s">
        <v>220</v>
      </c>
      <c r="E1195" s="17" t="s">
        <v>14</v>
      </c>
      <c r="F1195" s="12"/>
      <c r="G1195" s="12"/>
      <c r="H1195" s="13">
        <v>94</v>
      </c>
      <c r="I1195" s="23" t="s">
        <v>11</v>
      </c>
    </row>
    <row r="1196" spans="1:9" ht="78">
      <c r="A1196" s="15">
        <v>300398</v>
      </c>
      <c r="B1196" s="8" t="s">
        <v>2360</v>
      </c>
      <c r="C1196" s="9" t="s">
        <v>2361</v>
      </c>
      <c r="D1196" s="11" t="s">
        <v>220</v>
      </c>
      <c r="E1196" s="17" t="s">
        <v>14</v>
      </c>
      <c r="F1196" s="11" t="s">
        <v>1489</v>
      </c>
      <c r="G1196" s="12"/>
      <c r="H1196" s="13">
        <v>94</v>
      </c>
      <c r="I1196" s="23" t="s">
        <v>11</v>
      </c>
    </row>
    <row r="1197" spans="1:9" ht="78">
      <c r="A1197" s="15">
        <v>7595356</v>
      </c>
      <c r="B1197" s="8" t="s">
        <v>2362</v>
      </c>
      <c r="C1197" s="35" t="s">
        <v>2363</v>
      </c>
      <c r="D1197" s="12"/>
      <c r="E1197" s="17" t="s">
        <v>14</v>
      </c>
      <c r="F1197" s="11" t="s">
        <v>43</v>
      </c>
      <c r="G1197" s="12"/>
      <c r="H1197" s="13">
        <v>36</v>
      </c>
      <c r="I1197" s="23" t="s">
        <v>11</v>
      </c>
    </row>
    <row r="1198" spans="1:9" ht="78">
      <c r="A1198" s="15">
        <v>12011224</v>
      </c>
      <c r="B1198" s="8" t="s">
        <v>2364</v>
      </c>
      <c r="C1198" s="35" t="s">
        <v>2365</v>
      </c>
      <c r="D1198" s="12"/>
      <c r="E1198" s="17" t="s">
        <v>14</v>
      </c>
      <c r="F1198" s="12"/>
      <c r="G1198" s="12"/>
      <c r="H1198" s="13">
        <v>36</v>
      </c>
      <c r="I1198" s="23" t="s">
        <v>11</v>
      </c>
    </row>
    <row r="1199" spans="1:9" ht="46.8">
      <c r="A1199" s="15">
        <v>300392</v>
      </c>
      <c r="B1199" s="8" t="s">
        <v>2366</v>
      </c>
      <c r="C1199" s="35" t="s">
        <v>2367</v>
      </c>
      <c r="D1199" s="11" t="s">
        <v>220</v>
      </c>
      <c r="E1199" s="12"/>
      <c r="F1199" s="12"/>
      <c r="G1199" s="12"/>
      <c r="H1199" s="13">
        <v>94</v>
      </c>
      <c r="I1199" s="23" t="s">
        <v>11</v>
      </c>
    </row>
    <row r="1200" spans="1:9" ht="62.4">
      <c r="A1200" s="15">
        <v>1184633</v>
      </c>
      <c r="B1200" s="8" t="s">
        <v>2368</v>
      </c>
      <c r="C1200" s="35" t="s">
        <v>2369</v>
      </c>
      <c r="D1200" s="12"/>
      <c r="E1200" s="17" t="s">
        <v>14</v>
      </c>
      <c r="F1200" s="12"/>
      <c r="G1200" s="12"/>
      <c r="H1200" s="13">
        <v>94</v>
      </c>
      <c r="I1200" s="23" t="s">
        <v>11</v>
      </c>
    </row>
    <row r="1201" spans="1:9" ht="31.2">
      <c r="A1201" s="15" t="s">
        <v>2370</v>
      </c>
      <c r="B1201" s="8" t="s">
        <v>2371</v>
      </c>
      <c r="C1201" s="35" t="s">
        <v>2372</v>
      </c>
      <c r="D1201" s="12"/>
      <c r="E1201" s="17" t="s">
        <v>14</v>
      </c>
      <c r="F1201" s="11" t="s">
        <v>43</v>
      </c>
      <c r="G1201" s="12"/>
      <c r="H1201" s="13">
        <v>29</v>
      </c>
      <c r="I1201" s="14" t="s">
        <v>11</v>
      </c>
    </row>
    <row r="1202" spans="1:9" ht="109.2">
      <c r="A1202" s="15">
        <v>4335285</v>
      </c>
      <c r="B1202" s="8" t="s">
        <v>2373</v>
      </c>
      <c r="C1202" s="16" t="s">
        <v>2374</v>
      </c>
      <c r="D1202" s="12"/>
      <c r="E1202" s="12"/>
      <c r="F1202" s="11" t="s">
        <v>43</v>
      </c>
      <c r="G1202" s="12"/>
      <c r="H1202" s="13">
        <v>85</v>
      </c>
      <c r="I1202" s="14" t="s">
        <v>15</v>
      </c>
    </row>
    <row r="1203" spans="1:9" ht="46.8">
      <c r="A1203" s="15">
        <v>4486591</v>
      </c>
      <c r="B1203" s="8" t="s">
        <v>2375</v>
      </c>
      <c r="C1203" s="16" t="s">
        <v>2376</v>
      </c>
      <c r="D1203" s="12"/>
      <c r="E1203" s="17" t="s">
        <v>14</v>
      </c>
      <c r="F1203" s="11" t="s">
        <v>43</v>
      </c>
      <c r="G1203" s="12"/>
      <c r="H1203" s="13">
        <v>85</v>
      </c>
      <c r="I1203" s="14" t="s">
        <v>15</v>
      </c>
    </row>
    <row r="1204" spans="1:9" ht="31.2">
      <c r="A1204" s="15">
        <v>1055789</v>
      </c>
      <c r="B1204" s="8" t="s">
        <v>2377</v>
      </c>
      <c r="C1204" s="48" t="s">
        <v>2378</v>
      </c>
      <c r="D1204" s="12"/>
      <c r="E1204" s="17" t="s">
        <v>14</v>
      </c>
      <c r="F1204" s="11" t="s">
        <v>43</v>
      </c>
      <c r="G1204" s="12"/>
      <c r="H1204" s="13">
        <v>210</v>
      </c>
      <c r="I1204" s="23" t="s">
        <v>11</v>
      </c>
    </row>
    <row r="1205" spans="1:9" ht="31.2">
      <c r="A1205" s="15">
        <v>2791152</v>
      </c>
      <c r="B1205" s="8" t="s">
        <v>2379</v>
      </c>
      <c r="C1205" s="35" t="s">
        <v>2380</v>
      </c>
      <c r="D1205" s="12"/>
      <c r="E1205" s="11"/>
      <c r="F1205" s="11" t="s">
        <v>43</v>
      </c>
      <c r="G1205" s="12"/>
      <c r="H1205" s="13">
        <v>29</v>
      </c>
      <c r="I1205" s="14" t="s">
        <v>11</v>
      </c>
    </row>
    <row r="1206" spans="1:9" ht="46.8">
      <c r="A1206" s="15">
        <v>576072</v>
      </c>
      <c r="B1206" s="8" t="s">
        <v>2381</v>
      </c>
      <c r="C1206" s="35" t="s">
        <v>2382</v>
      </c>
      <c r="D1206" s="17" t="s">
        <v>220</v>
      </c>
      <c r="E1206" s="17" t="s">
        <v>14</v>
      </c>
      <c r="F1206" s="12"/>
      <c r="G1206" s="12"/>
      <c r="H1206" s="13">
        <v>21</v>
      </c>
      <c r="I1206" s="23" t="s">
        <v>18</v>
      </c>
    </row>
    <row r="1207" spans="1:9" ht="46.8">
      <c r="A1207" s="15">
        <v>563421</v>
      </c>
      <c r="B1207" s="8" t="s">
        <v>2383</v>
      </c>
      <c r="C1207" s="35" t="s">
        <v>2384</v>
      </c>
      <c r="D1207" s="12"/>
      <c r="E1207" s="17" t="s">
        <v>14</v>
      </c>
      <c r="F1207" s="11" t="s">
        <v>43</v>
      </c>
      <c r="G1207" s="12"/>
      <c r="H1207" s="13">
        <v>36</v>
      </c>
      <c r="I1207" s="23" t="s">
        <v>11</v>
      </c>
    </row>
    <row r="1208" spans="1:9" ht="31.2">
      <c r="A1208" s="74" t="s">
        <v>2385</v>
      </c>
      <c r="B1208" s="8" t="s">
        <v>2386</v>
      </c>
      <c r="C1208" s="35" t="s">
        <v>2387</v>
      </c>
      <c r="D1208" s="12"/>
      <c r="E1208" s="17" t="s">
        <v>14</v>
      </c>
      <c r="F1208" s="11" t="s">
        <v>43</v>
      </c>
      <c r="G1208" s="12"/>
      <c r="H1208" s="13">
        <v>29</v>
      </c>
      <c r="I1208" s="23" t="s">
        <v>11</v>
      </c>
    </row>
    <row r="1209" spans="1:9" ht="46.8">
      <c r="A1209" s="28" t="str">
        <f>HYPERLINK("https://catalog.archives.gov/search?q=M1883&amp;f.level=series&amp;f.recordGroupNoCollectionId=55","Various")</f>
        <v>Various</v>
      </c>
      <c r="B1209" s="8" t="s">
        <v>2388</v>
      </c>
      <c r="C1209" s="16" t="s">
        <v>2389</v>
      </c>
      <c r="D1209" s="11" t="s">
        <v>220</v>
      </c>
      <c r="E1209" s="12"/>
      <c r="F1209" s="12"/>
      <c r="G1209" s="12"/>
      <c r="H1209" s="13">
        <v>55</v>
      </c>
      <c r="I1209" s="14" t="s">
        <v>15</v>
      </c>
    </row>
    <row r="1210" spans="1:9" ht="31.2">
      <c r="A1210" s="15">
        <v>5573655</v>
      </c>
      <c r="B1210" s="8" t="s">
        <v>2390</v>
      </c>
      <c r="C1210" s="35" t="s">
        <v>2391</v>
      </c>
      <c r="D1210" s="12"/>
      <c r="E1210" s="17" t="s">
        <v>14</v>
      </c>
      <c r="F1210" s="11" t="str">
        <f>HYPERLINK("https://www.familysearch.org/search/catalog/2822773?availability=Family%20History%20Library","FamilySearch.org")</f>
        <v>FamilySearch.org</v>
      </c>
      <c r="G1210" s="12"/>
      <c r="H1210" s="13">
        <v>36</v>
      </c>
      <c r="I1210" s="23" t="s">
        <v>18</v>
      </c>
    </row>
    <row r="1211" spans="1:9" ht="62.4">
      <c r="A1211" s="15">
        <v>300398</v>
      </c>
      <c r="B1211" s="8" t="s">
        <v>2392</v>
      </c>
      <c r="C1211" s="9" t="s">
        <v>2393</v>
      </c>
      <c r="D1211" s="11" t="s">
        <v>220</v>
      </c>
      <c r="E1211" s="17" t="s">
        <v>14</v>
      </c>
      <c r="F1211" s="12"/>
      <c r="G1211" s="12"/>
      <c r="H1211" s="13">
        <v>94</v>
      </c>
      <c r="I1211" s="23" t="s">
        <v>11</v>
      </c>
    </row>
    <row r="1212" spans="1:9" ht="31.2">
      <c r="A1212" s="15">
        <v>2124617</v>
      </c>
      <c r="B1212" s="8" t="s">
        <v>2394</v>
      </c>
      <c r="C1212" s="35" t="s">
        <v>2395</v>
      </c>
      <c r="D1212" s="17" t="s">
        <v>220</v>
      </c>
      <c r="E1212" s="12"/>
      <c r="F1212" s="12"/>
      <c r="G1212" s="12"/>
      <c r="H1212" s="13">
        <v>153</v>
      </c>
      <c r="I1212" s="75" t="s">
        <v>11</v>
      </c>
    </row>
    <row r="1213" spans="1:9" ht="46.8">
      <c r="A1213" s="15">
        <v>7820285</v>
      </c>
      <c r="B1213" s="8" t="s">
        <v>2396</v>
      </c>
      <c r="C1213" s="35" t="s">
        <v>2397</v>
      </c>
      <c r="D1213" s="11" t="str">
        <f>HYPERLINK("https://www.fold3.com/title/650/homestead-records-ne","Fold3.com")</f>
        <v>Fold3.com</v>
      </c>
      <c r="E1213" s="12"/>
      <c r="F1213" s="11" t="s">
        <v>1489</v>
      </c>
      <c r="G1213" s="12"/>
      <c r="H1213" s="13">
        <v>49</v>
      </c>
      <c r="I1213" s="23" t="s">
        <v>11</v>
      </c>
    </row>
    <row r="1214" spans="1:9" ht="62.4">
      <c r="A1214" s="15">
        <v>1135881</v>
      </c>
      <c r="B1214" s="8" t="s">
        <v>2398</v>
      </c>
      <c r="C1214" s="16" t="s">
        <v>2399</v>
      </c>
      <c r="D1214" s="12"/>
      <c r="E1214" s="17" t="s">
        <v>14</v>
      </c>
      <c r="F1214" s="11" t="s">
        <v>43</v>
      </c>
      <c r="G1214" s="12"/>
      <c r="H1214" s="13">
        <v>21</v>
      </c>
      <c r="I1214" s="14" t="s">
        <v>15</v>
      </c>
    </row>
    <row r="1215" spans="1:9" ht="46.8">
      <c r="A1215" s="15">
        <v>2570648</v>
      </c>
      <c r="B1215" s="8" t="s">
        <v>2400</v>
      </c>
      <c r="C1215" s="35" t="s">
        <v>2401</v>
      </c>
      <c r="D1215" s="11" t="s">
        <v>220</v>
      </c>
      <c r="E1215" s="12"/>
      <c r="F1215" s="12"/>
      <c r="G1215" s="12"/>
      <c r="H1215" s="13">
        <v>260</v>
      </c>
      <c r="I1215" s="23" t="s">
        <v>11</v>
      </c>
    </row>
    <row r="1216" spans="1:9" ht="78">
      <c r="A1216" s="15" t="s">
        <v>2402</v>
      </c>
      <c r="B1216" s="8" t="s">
        <v>2403</v>
      </c>
      <c r="C1216" s="16" t="s">
        <v>2404</v>
      </c>
      <c r="D1216" s="11" t="s">
        <v>220</v>
      </c>
      <c r="E1216" s="12"/>
      <c r="F1216" s="12"/>
      <c r="G1216" s="12"/>
      <c r="H1216" s="13">
        <v>260</v>
      </c>
      <c r="I1216" s="14" t="s">
        <v>15</v>
      </c>
    </row>
    <row r="1217" spans="1:9" ht="31.2">
      <c r="A1217" s="15" t="s">
        <v>2405</v>
      </c>
      <c r="B1217" s="8" t="s">
        <v>2406</v>
      </c>
      <c r="C1217" s="35" t="s">
        <v>2407</v>
      </c>
      <c r="D1217" s="11" t="s">
        <v>220</v>
      </c>
      <c r="E1217" s="12"/>
      <c r="F1217" s="12"/>
      <c r="G1217" s="12"/>
      <c r="H1217" s="13">
        <v>260</v>
      </c>
      <c r="I1217" s="23" t="s">
        <v>11</v>
      </c>
    </row>
    <row r="1218" spans="1:9" ht="46.8">
      <c r="A1218" s="15">
        <v>4477248</v>
      </c>
      <c r="B1218" s="8" t="s">
        <v>2408</v>
      </c>
      <c r="C1218" s="48" t="s">
        <v>2409</v>
      </c>
      <c r="D1218" s="11" t="s">
        <v>220</v>
      </c>
      <c r="E1218" s="12"/>
      <c r="F1218" s="12"/>
      <c r="G1218" s="12"/>
      <c r="H1218" s="13">
        <v>260</v>
      </c>
      <c r="I1218" s="23" t="s">
        <v>11</v>
      </c>
    </row>
    <row r="1219" spans="1:9" ht="46.8">
      <c r="A1219" s="15" t="s">
        <v>2410</v>
      </c>
      <c r="B1219" s="8" t="s">
        <v>2411</v>
      </c>
      <c r="C1219" s="35" t="s">
        <v>2412</v>
      </c>
      <c r="D1219" s="11" t="s">
        <v>220</v>
      </c>
      <c r="E1219" s="12"/>
      <c r="F1219" s="12"/>
      <c r="G1219" s="12"/>
      <c r="H1219" s="13">
        <v>260</v>
      </c>
      <c r="I1219" s="23" t="s">
        <v>11</v>
      </c>
    </row>
    <row r="1220" spans="1:9" ht="62.4">
      <c r="A1220" s="15" t="s">
        <v>2413</v>
      </c>
      <c r="B1220" s="8" t="s">
        <v>2414</v>
      </c>
      <c r="C1220" s="16" t="s">
        <v>2415</v>
      </c>
      <c r="D1220" s="11" t="s">
        <v>220</v>
      </c>
      <c r="E1220" s="12"/>
      <c r="F1220" s="12"/>
      <c r="G1220" s="12"/>
      <c r="H1220" s="13">
        <v>260</v>
      </c>
      <c r="I1220" s="14" t="s">
        <v>15</v>
      </c>
    </row>
    <row r="1221" spans="1:9" ht="31.2">
      <c r="A1221" s="15">
        <v>4504574</v>
      </c>
      <c r="B1221" s="8" t="s">
        <v>2416</v>
      </c>
      <c r="C1221" s="35" t="s">
        <v>2417</v>
      </c>
      <c r="D1221" s="11" t="s">
        <v>220</v>
      </c>
      <c r="E1221" s="12"/>
      <c r="F1221" s="12"/>
      <c r="G1221" s="12"/>
      <c r="H1221" s="13">
        <v>226</v>
      </c>
      <c r="I1221" s="23" t="s">
        <v>11</v>
      </c>
    </row>
    <row r="1222" spans="1:9" ht="15.6">
      <c r="A1222" s="15">
        <v>581096</v>
      </c>
      <c r="B1222" s="8" t="s">
        <v>2418</v>
      </c>
      <c r="C1222" s="35" t="s">
        <v>2419</v>
      </c>
      <c r="D1222" s="17" t="s">
        <v>220</v>
      </c>
      <c r="E1222" s="12"/>
      <c r="F1222" s="12"/>
      <c r="G1222" s="12"/>
      <c r="H1222" s="13">
        <v>549</v>
      </c>
      <c r="I1222" s="23" t="s">
        <v>11</v>
      </c>
    </row>
    <row r="1223" spans="1:9" ht="31.2">
      <c r="A1223" s="15">
        <v>6203386</v>
      </c>
      <c r="B1223" s="8" t="s">
        <v>2420</v>
      </c>
      <c r="C1223" s="35" t="s">
        <v>2421</v>
      </c>
      <c r="D1223" s="17" t="s">
        <v>220</v>
      </c>
      <c r="E1223" s="12"/>
      <c r="F1223" s="12"/>
      <c r="G1223" s="12"/>
      <c r="H1223" s="13">
        <v>238</v>
      </c>
      <c r="I1223" s="23" t="s">
        <v>11</v>
      </c>
    </row>
    <row r="1224" spans="1:9" ht="46.8">
      <c r="A1224" s="15" t="s">
        <v>2422</v>
      </c>
      <c r="B1224" s="8" t="s">
        <v>2423</v>
      </c>
      <c r="C1224" s="35" t="s">
        <v>2424</v>
      </c>
      <c r="D1224" s="11" t="s">
        <v>220</v>
      </c>
      <c r="E1224" s="12"/>
      <c r="F1224" s="12"/>
      <c r="G1224" s="12"/>
      <c r="H1224" s="13">
        <v>260</v>
      </c>
      <c r="I1224" s="23" t="s">
        <v>11</v>
      </c>
    </row>
    <row r="1225" spans="1:9" ht="46.8">
      <c r="A1225" s="28" t="str">
        <f>HYPERLINK("https://catalog.archives.gov/search?q=M1942&amp;f.level=series&amp;f.recordGroupNoCollectionId=260","Various")</f>
        <v>Various</v>
      </c>
      <c r="B1225" s="8" t="s">
        <v>2425</v>
      </c>
      <c r="C1225" s="35" t="s">
        <v>2426</v>
      </c>
      <c r="D1225" s="11" t="s">
        <v>2427</v>
      </c>
      <c r="E1225" s="12"/>
      <c r="F1225" s="12"/>
      <c r="G1225" s="11" t="s">
        <v>2428</v>
      </c>
      <c r="H1225" s="13">
        <v>260</v>
      </c>
      <c r="I1225" s="23" t="s">
        <v>11</v>
      </c>
    </row>
    <row r="1226" spans="1:9" ht="62.4">
      <c r="A1226" s="15" t="s">
        <v>2429</v>
      </c>
      <c r="B1226" s="8" t="s">
        <v>2430</v>
      </c>
      <c r="C1226" s="35" t="s">
        <v>2431</v>
      </c>
      <c r="D1226" s="11" t="s">
        <v>220</v>
      </c>
      <c r="E1226" s="12"/>
      <c r="F1226" s="12"/>
      <c r="G1226" s="12"/>
      <c r="H1226" s="13">
        <v>260</v>
      </c>
      <c r="I1226" s="23" t="s">
        <v>18</v>
      </c>
    </row>
    <row r="1227" spans="1:9" ht="62.4">
      <c r="A1227" s="28" t="str">
        <f>HYPERLINK("https://catalog.archives.gov/search?q=M1944&amp;f.level=series&amp;f.recordGroupNoCollectionId=239","Various")</f>
        <v>Various</v>
      </c>
      <c r="B1227" s="8" t="s">
        <v>2432</v>
      </c>
      <c r="C1227" s="35" t="s">
        <v>2433</v>
      </c>
      <c r="D1227" s="11" t="s">
        <v>220</v>
      </c>
      <c r="E1227" s="12"/>
      <c r="F1227" s="12"/>
      <c r="G1227" s="12"/>
      <c r="H1227" s="13">
        <v>239</v>
      </c>
      <c r="I1227" s="23" t="s">
        <v>18</v>
      </c>
    </row>
    <row r="1228" spans="1:9" ht="46.8">
      <c r="A1228" s="28" t="str">
        <f>HYPERLINK("https://catalog.archives.gov/search?q=M1946&amp;f.level=series&amp;f.recordGroupNoCollectionId=260","Various")</f>
        <v>Various</v>
      </c>
      <c r="B1228" s="8" t="s">
        <v>2434</v>
      </c>
      <c r="C1228" s="35" t="s">
        <v>2435</v>
      </c>
      <c r="D1228" s="11" t="str">
        <f>HYPERLINK("https://www.fold3.com/search?keywords=M1946&amp;general.title.provider.id=1:The+National+Archives&amp;military.conflict=World+War+II&amp;general.title.content.doc-type=PUBLICATION:Publication","Fold3.com")</f>
        <v>Fold3.com</v>
      </c>
      <c r="E1228" s="12"/>
      <c r="F1228" s="11"/>
      <c r="G1228" s="11"/>
      <c r="H1228" s="13">
        <v>260</v>
      </c>
      <c r="I1228" s="23" t="s">
        <v>11</v>
      </c>
    </row>
    <row r="1229" spans="1:9" ht="46.8">
      <c r="A1229" s="28" t="str">
        <f>HYPERLINK("https://catalog.archives.gov/search?q=M1947&amp;f.level=series&amp;f.recordGroupNoCollectionId=260","Various")</f>
        <v>Various</v>
      </c>
      <c r="B1229" s="8" t="s">
        <v>2436</v>
      </c>
      <c r="C1229" s="35" t="s">
        <v>2437</v>
      </c>
      <c r="D1229" s="11" t="s">
        <v>2438</v>
      </c>
      <c r="E1229" s="12"/>
      <c r="F1229" s="12"/>
      <c r="G1229" s="11" t="s">
        <v>2439</v>
      </c>
      <c r="H1229" s="13">
        <v>260</v>
      </c>
      <c r="I1229" s="23" t="s">
        <v>11</v>
      </c>
    </row>
    <row r="1230" spans="1:9" ht="62.4">
      <c r="A1230" s="15" t="s">
        <v>2440</v>
      </c>
      <c r="B1230" s="8" t="s">
        <v>2441</v>
      </c>
      <c r="C1230" s="35" t="s">
        <v>2442</v>
      </c>
      <c r="D1230" s="11" t="str">
        <f>HYPERLINK("https://www.fold3.com/search?keywords=M1948&amp;general.title.provider.id=1:The+National+Archives&amp;military.conflict=World+War+II&amp;general.title.content.doc-type=PUBLICATION:Publication","Fold3.com")</f>
        <v>Fold3.com</v>
      </c>
      <c r="E1230" s="12"/>
      <c r="F1230" s="12"/>
      <c r="G1230" s="11"/>
      <c r="H1230" s="13">
        <v>260</v>
      </c>
      <c r="I1230" s="23" t="s">
        <v>18</v>
      </c>
    </row>
    <row r="1231" spans="1:9" ht="46.8">
      <c r="A1231" s="28" t="str">
        <f>HYPERLINK("https://catalog.archives.gov/search?q=M1948&amp;f.level=series&amp;f.recordGroupNoCollectionId=260","Various")</f>
        <v>Various</v>
      </c>
      <c r="B1231" s="8" t="s">
        <v>2443</v>
      </c>
      <c r="C1231" s="35" t="s">
        <v>2444</v>
      </c>
      <c r="D1231" s="11" t="s">
        <v>220</v>
      </c>
      <c r="E1231" s="12"/>
      <c r="F1231" s="12"/>
      <c r="G1231" s="12"/>
      <c r="H1231" s="13">
        <v>260</v>
      </c>
      <c r="I1231" s="23" t="s">
        <v>11</v>
      </c>
    </row>
    <row r="1232" spans="1:9" ht="31.2">
      <c r="A1232" s="15">
        <v>4486701</v>
      </c>
      <c r="B1232" s="8" t="s">
        <v>2445</v>
      </c>
      <c r="C1232" s="16" t="s">
        <v>2446</v>
      </c>
      <c r="D1232" s="11" t="str">
        <f>HYPERLINK("https://www.fold3.com/title/107/naturalization-index-wwi-soldiers","Fold3.com")</f>
        <v>Fold3.com</v>
      </c>
      <c r="E1232" s="17" t="s">
        <v>14</v>
      </c>
      <c r="F1232" s="11" t="s">
        <v>43</v>
      </c>
      <c r="G1232" s="12"/>
      <c r="H1232" s="13">
        <v>85</v>
      </c>
      <c r="I1232" s="14" t="s">
        <v>15</v>
      </c>
    </row>
    <row r="1233" spans="1:9" ht="46.8">
      <c r="A1233" s="15">
        <v>2363711</v>
      </c>
      <c r="B1233" s="8" t="s">
        <v>2447</v>
      </c>
      <c r="C1233" s="49" t="str">
        <f>HYPERLINK("https://catalog.archives.gov/search?q=*:*&amp;f.ancestorNaIds=2363711&amp;sort=naIdSort%20asc","Weekly Returns of Enlistments at Naval Rendezvous (""Enlistment Rendezvous"") Jan. 6, 1855-Aug. 8, 1891")</f>
        <v>Weekly Returns of Enlistments at Naval Rendezvous ("Enlistment Rendezvous") Jan. 6, 1855-Aug. 8, 1891</v>
      </c>
      <c r="D1233" s="11" t="s">
        <v>220</v>
      </c>
      <c r="E1233" s="12"/>
      <c r="F1233" s="11" t="s">
        <v>43</v>
      </c>
      <c r="G1233" s="12"/>
      <c r="H1233" s="13">
        <v>24</v>
      </c>
      <c r="I1233" s="23" t="s">
        <v>11</v>
      </c>
    </row>
    <row r="1234" spans="1:9" ht="46.8">
      <c r="A1234" s="15">
        <v>4335265</v>
      </c>
      <c r="B1234" s="8" t="s">
        <v>2448</v>
      </c>
      <c r="C1234" s="16" t="s">
        <v>2449</v>
      </c>
      <c r="D1234" s="12"/>
      <c r="E1234" s="17" t="s">
        <v>14</v>
      </c>
      <c r="F1234" s="11" t="str">
        <f>HYPERLINK("https://www.familysearch.org/search/catalog/2822770?availability=Family%20History%20Library","FamilySearch.org")</f>
        <v>FamilySearch.org</v>
      </c>
      <c r="G1234" s="12"/>
      <c r="H1234" s="13">
        <v>85</v>
      </c>
      <c r="I1234" s="14" t="s">
        <v>15</v>
      </c>
    </row>
    <row r="1235" spans="1:9" ht="62.4">
      <c r="A1235" s="15">
        <v>300398</v>
      </c>
      <c r="B1235" s="8" t="s">
        <v>2450</v>
      </c>
      <c r="C1235" s="16" t="s">
        <v>2451</v>
      </c>
      <c r="D1235" s="11" t="str">
        <f>HYPERLINK("https://www.fold3.com/title/48/civil-war-soldiers-union-dakota","Fold3.com")</f>
        <v>Fold3.com</v>
      </c>
      <c r="E1235" s="17" t="s">
        <v>14</v>
      </c>
      <c r="F1235" s="11" t="s">
        <v>43</v>
      </c>
      <c r="G1235" s="12"/>
      <c r="H1235" s="13">
        <v>94</v>
      </c>
      <c r="I1235" s="14" t="s">
        <v>15</v>
      </c>
    </row>
    <row r="1236" spans="1:9" ht="46.8">
      <c r="A1236" s="15">
        <v>300398</v>
      </c>
      <c r="B1236" s="8" t="s">
        <v>2452</v>
      </c>
      <c r="C1236" s="9" t="s">
        <v>2453</v>
      </c>
      <c r="D1236" s="17" t="s">
        <v>220</v>
      </c>
      <c r="E1236" s="17" t="s">
        <v>14</v>
      </c>
      <c r="F1236" s="11" t="s">
        <v>43</v>
      </c>
      <c r="G1236" s="12"/>
      <c r="H1236" s="13">
        <v>94</v>
      </c>
      <c r="I1236" s="23" t="s">
        <v>11</v>
      </c>
    </row>
    <row r="1237" spans="1:9" ht="46.8">
      <c r="A1237" s="15">
        <v>575701</v>
      </c>
      <c r="B1237" s="8" t="s">
        <v>2454</v>
      </c>
      <c r="C1237" s="16" t="s">
        <v>2455</v>
      </c>
      <c r="D1237" s="17" t="s">
        <v>220</v>
      </c>
      <c r="E1237" s="11" t="s">
        <v>14</v>
      </c>
      <c r="F1237" s="18" t="s">
        <v>43</v>
      </c>
      <c r="G1237" s="12"/>
      <c r="H1237" s="13">
        <v>21</v>
      </c>
      <c r="I1237" s="14" t="s">
        <v>15</v>
      </c>
    </row>
    <row r="1238" spans="1:9" ht="46.8">
      <c r="A1238" s="15">
        <v>4486821</v>
      </c>
      <c r="B1238" s="8" t="s">
        <v>2456</v>
      </c>
      <c r="C1238" s="35" t="s">
        <v>2457</v>
      </c>
      <c r="D1238" s="12"/>
      <c r="E1238" s="17" t="s">
        <v>14</v>
      </c>
      <c r="F1238" s="11" t="s">
        <v>43</v>
      </c>
      <c r="G1238" s="12"/>
      <c r="H1238" s="13">
        <v>85</v>
      </c>
      <c r="I1238" s="23" t="s">
        <v>11</v>
      </c>
    </row>
    <row r="1239" spans="1:9" ht="62.4">
      <c r="A1239" s="15">
        <v>300398</v>
      </c>
      <c r="B1239" s="8" t="s">
        <v>2458</v>
      </c>
      <c r="C1239" s="9" t="s">
        <v>2459</v>
      </c>
      <c r="D1239" s="11" t="s">
        <v>220</v>
      </c>
      <c r="E1239" s="17" t="s">
        <v>14</v>
      </c>
      <c r="F1239" s="12"/>
      <c r="G1239" s="12"/>
      <c r="H1239" s="13">
        <v>94</v>
      </c>
      <c r="I1239" s="23" t="s">
        <v>11</v>
      </c>
    </row>
    <row r="1240" spans="1:9" ht="62.4">
      <c r="A1240" s="15">
        <v>300398</v>
      </c>
      <c r="B1240" s="8" t="s">
        <v>2460</v>
      </c>
      <c r="C1240" s="9" t="s">
        <v>2461</v>
      </c>
      <c r="D1240" s="17" t="s">
        <v>220</v>
      </c>
      <c r="E1240" s="17" t="s">
        <v>14</v>
      </c>
      <c r="F1240" s="12"/>
      <c r="G1240" s="12"/>
      <c r="H1240" s="13">
        <v>94</v>
      </c>
      <c r="I1240" s="23" t="s">
        <v>11</v>
      </c>
    </row>
    <row r="1241" spans="1:9" ht="62.4">
      <c r="A1241" s="15">
        <v>300398</v>
      </c>
      <c r="B1241" s="8" t="s">
        <v>2462</v>
      </c>
      <c r="C1241" s="9" t="s">
        <v>2463</v>
      </c>
      <c r="D1241" s="17" t="s">
        <v>220</v>
      </c>
      <c r="E1241" s="17" t="s">
        <v>14</v>
      </c>
      <c r="F1241" s="12"/>
      <c r="G1241" s="12"/>
      <c r="H1241" s="13">
        <v>94</v>
      </c>
      <c r="I1241" s="23" t="s">
        <v>11</v>
      </c>
    </row>
    <row r="1242" spans="1:9" ht="46.8">
      <c r="A1242" s="15">
        <v>1127790</v>
      </c>
      <c r="B1242" s="8" t="s">
        <v>2464</v>
      </c>
      <c r="C1242" s="35" t="s">
        <v>2465</v>
      </c>
      <c r="D1242" s="17" t="s">
        <v>220</v>
      </c>
      <c r="E1242" s="17" t="s">
        <v>14</v>
      </c>
      <c r="F1242" s="12"/>
      <c r="G1242" s="12"/>
      <c r="H1242" s="13">
        <v>21</v>
      </c>
      <c r="I1242" s="23" t="s">
        <v>11</v>
      </c>
    </row>
    <row r="1243" spans="1:9" ht="62.4">
      <c r="A1243" s="15">
        <v>286181</v>
      </c>
      <c r="B1243" s="8" t="s">
        <v>2466</v>
      </c>
      <c r="C1243" s="35" t="s">
        <v>2467</v>
      </c>
      <c r="D1243" s="12"/>
      <c r="E1243" s="17" t="s">
        <v>14</v>
      </c>
      <c r="F1243" s="12"/>
      <c r="G1243" s="12"/>
      <c r="H1243" s="13">
        <v>118</v>
      </c>
      <c r="I1243" s="23" t="s">
        <v>11</v>
      </c>
    </row>
    <row r="1244" spans="1:9" ht="62.4">
      <c r="A1244" s="15">
        <v>300398</v>
      </c>
      <c r="B1244" s="8" t="s">
        <v>2468</v>
      </c>
      <c r="C1244" s="9" t="s">
        <v>2469</v>
      </c>
      <c r="D1244" s="17" t="s">
        <v>220</v>
      </c>
      <c r="E1244" s="17" t="s">
        <v>14</v>
      </c>
      <c r="F1244" s="12"/>
      <c r="G1244" s="12"/>
      <c r="H1244" s="13">
        <v>94</v>
      </c>
      <c r="I1244" s="23" t="s">
        <v>11</v>
      </c>
    </row>
    <row r="1245" spans="1:9" ht="46.8">
      <c r="A1245" s="15">
        <v>300398</v>
      </c>
      <c r="B1245" s="8" t="s">
        <v>2470</v>
      </c>
      <c r="C1245" s="9" t="s">
        <v>2471</v>
      </c>
      <c r="D1245" s="17" t="s">
        <v>220</v>
      </c>
      <c r="E1245" s="17" t="s">
        <v>14</v>
      </c>
      <c r="F1245" s="11" t="s">
        <v>43</v>
      </c>
      <c r="G1245" s="12"/>
      <c r="H1245" s="13">
        <v>94</v>
      </c>
      <c r="I1245" s="23" t="s">
        <v>11</v>
      </c>
    </row>
    <row r="1246" spans="1:9" ht="46.8">
      <c r="A1246" s="15">
        <v>122157682</v>
      </c>
      <c r="B1246" s="8" t="s">
        <v>2472</v>
      </c>
      <c r="C1246" s="35" t="s">
        <v>2473</v>
      </c>
      <c r="D1246" s="12"/>
      <c r="E1246" s="17" t="s">
        <v>14</v>
      </c>
      <c r="F1246" s="12"/>
      <c r="G1246" s="12"/>
      <c r="H1246" s="13">
        <v>85</v>
      </c>
      <c r="I1246" s="23" t="s">
        <v>11</v>
      </c>
    </row>
    <row r="1247" spans="1:9" ht="62.4">
      <c r="A1247" s="15">
        <v>301668</v>
      </c>
      <c r="B1247" s="8" t="s">
        <v>2474</v>
      </c>
      <c r="C1247" s="35" t="s">
        <v>2475</v>
      </c>
      <c r="D1247" s="17" t="s">
        <v>220</v>
      </c>
      <c r="E1247" s="12"/>
      <c r="F1247" s="12"/>
      <c r="G1247" s="12"/>
      <c r="H1247" s="13">
        <v>267</v>
      </c>
      <c r="I1247" s="23" t="s">
        <v>11</v>
      </c>
    </row>
    <row r="1248" spans="1:9" ht="46.8">
      <c r="A1248" s="28" t="str">
        <f>HYPERLINK("https://catalog.archives.gov/search?q=M2029&amp;f.level=series&amp;f.recordGroupNoCollectionId=105","Various")</f>
        <v>Various</v>
      </c>
      <c r="B1248" s="8" t="s">
        <v>2476</v>
      </c>
      <c r="C1248" s="16" t="s">
        <v>2477</v>
      </c>
      <c r="D1248" s="12"/>
      <c r="E1248" s="17" t="s">
        <v>14</v>
      </c>
      <c r="F1248" s="11" t="s">
        <v>43</v>
      </c>
      <c r="G1248" s="12"/>
      <c r="H1248" s="13">
        <v>105</v>
      </c>
      <c r="I1248" s="14" t="s">
        <v>15</v>
      </c>
    </row>
    <row r="1249" spans="1:9" ht="46.8">
      <c r="A1249" s="15">
        <v>4532519</v>
      </c>
      <c r="B1249" s="8" t="s">
        <v>2478</v>
      </c>
      <c r="C1249" s="16" t="s">
        <v>2479</v>
      </c>
      <c r="D1249" s="12"/>
      <c r="E1249" s="17" t="s">
        <v>14</v>
      </c>
      <c r="F1249" s="11" t="s">
        <v>43</v>
      </c>
      <c r="G1249" s="12"/>
      <c r="H1249" s="13">
        <v>85</v>
      </c>
      <c r="I1249" s="14" t="s">
        <v>15</v>
      </c>
    </row>
    <row r="1250" spans="1:9" ht="31.2">
      <c r="A1250" s="15">
        <v>566157</v>
      </c>
      <c r="B1250" s="8" t="s">
        <v>2480</v>
      </c>
      <c r="C1250" s="35" t="s">
        <v>2481</v>
      </c>
      <c r="D1250" s="11" t="str">
        <f>HYPERLINK("https://www.fold3.com/title/7/southern-claims-approved-alabama","Fold3.com")</f>
        <v>Fold3.com</v>
      </c>
      <c r="E1250" s="17" t="s">
        <v>14</v>
      </c>
      <c r="F1250" s="12"/>
      <c r="G1250" s="12"/>
      <c r="H1250" s="13">
        <v>217</v>
      </c>
      <c r="I1250" s="23" t="s">
        <v>11</v>
      </c>
    </row>
    <row r="1251" spans="1:9" ht="31.2">
      <c r="A1251" s="15">
        <v>605894</v>
      </c>
      <c r="B1251" s="8" t="s">
        <v>2482</v>
      </c>
      <c r="C1251" s="35" t="s">
        <v>2483</v>
      </c>
      <c r="D1251" s="11" t="s">
        <v>220</v>
      </c>
      <c r="E1251" s="12"/>
      <c r="F1251" s="12"/>
      <c r="G1251" s="12"/>
      <c r="H1251" s="13">
        <v>217</v>
      </c>
      <c r="I1251" s="23" t="s">
        <v>11</v>
      </c>
    </row>
    <row r="1252" spans="1:9" ht="46.8">
      <c r="A1252" s="15">
        <v>3506106</v>
      </c>
      <c r="B1252" s="8" t="s">
        <v>2484</v>
      </c>
      <c r="C1252" s="48" t="s">
        <v>2485</v>
      </c>
      <c r="D1252" s="12"/>
      <c r="E1252" s="17" t="s">
        <v>14</v>
      </c>
      <c r="F1252" s="11" t="s">
        <v>43</v>
      </c>
      <c r="G1252" s="12"/>
      <c r="H1252" s="13">
        <v>21</v>
      </c>
      <c r="I1252" s="23" t="s">
        <v>18</v>
      </c>
    </row>
    <row r="1253" spans="1:9" ht="31.2">
      <c r="A1253" s="15">
        <v>566157</v>
      </c>
      <c r="B1253" s="8" t="s">
        <v>2486</v>
      </c>
      <c r="C1253" s="35" t="s">
        <v>2487</v>
      </c>
      <c r="D1253" s="11" t="str">
        <f>HYPERLINK("https://www.fold3.com/title/9/southern-claims-approved-virginia","Fold3.com")</f>
        <v>Fold3.com</v>
      </c>
      <c r="E1253" s="17" t="s">
        <v>14</v>
      </c>
      <c r="F1253" s="11" t="s">
        <v>43</v>
      </c>
      <c r="G1253" s="12"/>
      <c r="H1253" s="13">
        <v>217</v>
      </c>
      <c r="I1253" s="23" t="s">
        <v>11</v>
      </c>
    </row>
    <row r="1254" spans="1:9" ht="46.8">
      <c r="A1254" s="15">
        <v>5757071</v>
      </c>
      <c r="B1254" s="8" t="s">
        <v>2488</v>
      </c>
      <c r="C1254" s="16" t="s">
        <v>2489</v>
      </c>
      <c r="D1254" s="12"/>
      <c r="E1254" s="11" t="str">
        <f>HYPERLINK("https://search.ancestryinstitution.com/aird/search/db.aspx?dbid=8758","Ancestry.com")</f>
        <v>Ancestry.com</v>
      </c>
      <c r="F1254" s="11" t="str">
        <f>HYPERLINK("https://www.familysearch.org/search/catalog/2822769?availability=Family%20History%20Library","FamilySearch.org")</f>
        <v>FamilySearch.org</v>
      </c>
      <c r="G1254" s="12"/>
      <c r="H1254" s="13">
        <v>36</v>
      </c>
      <c r="I1254" s="14" t="s">
        <v>15</v>
      </c>
    </row>
    <row r="1255" spans="1:9" ht="46.8">
      <c r="A1255" s="15">
        <v>1103570</v>
      </c>
      <c r="B1255" s="8" t="s">
        <v>2490</v>
      </c>
      <c r="C1255" s="48" t="s">
        <v>2491</v>
      </c>
      <c r="D1255" s="12"/>
      <c r="E1255" s="17" t="s">
        <v>14</v>
      </c>
      <c r="F1255" s="12"/>
      <c r="G1255" s="12"/>
      <c r="H1255" s="13">
        <v>15</v>
      </c>
      <c r="I1255" s="23" t="s">
        <v>11</v>
      </c>
    </row>
    <row r="1256" spans="1:9" ht="31.2">
      <c r="A1256" s="15">
        <v>596118</v>
      </c>
      <c r="B1256" s="8" t="s">
        <v>2492</v>
      </c>
      <c r="C1256" s="16" t="s">
        <v>2493</v>
      </c>
      <c r="D1256" s="12"/>
      <c r="E1256" s="12"/>
      <c r="F1256" s="11" t="s">
        <v>43</v>
      </c>
      <c r="G1256" s="12"/>
      <c r="H1256" s="13">
        <v>92</v>
      </c>
      <c r="I1256" s="14" t="s">
        <v>15</v>
      </c>
    </row>
    <row r="1257" spans="1:9" ht="31.2">
      <c r="A1257" s="29">
        <v>5716942</v>
      </c>
      <c r="B1257" s="8" t="s">
        <v>2494</v>
      </c>
      <c r="C1257" s="49" t="str">
        <f>HYPERLINK("https://catalog.archives.gov/search?q=*:*&amp;f.ancestorNaIds=5716942&amp;sort=naIdSort%20asc","Lists of Passengers Departing From New Orleans, Louisiana, 1867-1871")</f>
        <v>Lists of Passengers Departing From New Orleans, Louisiana, 1867-1871</v>
      </c>
      <c r="D1257" s="12"/>
      <c r="E1257" s="17" t="s">
        <v>14</v>
      </c>
      <c r="F1257" s="11" t="s">
        <v>43</v>
      </c>
      <c r="G1257" s="12"/>
      <c r="H1257" s="13">
        <v>36</v>
      </c>
      <c r="I1257" s="23" t="s">
        <v>11</v>
      </c>
    </row>
    <row r="1258" spans="1:9" ht="15.6">
      <c r="A1258" s="15">
        <v>5821667</v>
      </c>
      <c r="B1258" s="8" t="s">
        <v>2495</v>
      </c>
      <c r="C1258" s="35" t="s">
        <v>2496</v>
      </c>
      <c r="D1258" s="11" t="s">
        <v>220</v>
      </c>
      <c r="E1258" s="11"/>
      <c r="F1258" s="12"/>
      <c r="G1258" s="12"/>
      <c r="H1258" s="13">
        <v>498</v>
      </c>
      <c r="I1258" s="23" t="s">
        <v>18</v>
      </c>
    </row>
    <row r="1259" spans="1:9" ht="15.6">
      <c r="A1259" s="29">
        <v>594996</v>
      </c>
      <c r="B1259" s="8" t="s">
        <v>247</v>
      </c>
      <c r="C1259" s="35" t="s">
        <v>2497</v>
      </c>
      <c r="D1259" s="26" t="s">
        <v>220</v>
      </c>
      <c r="E1259" s="12"/>
      <c r="F1259" s="12"/>
      <c r="G1259" s="12"/>
      <c r="H1259" s="30">
        <v>24</v>
      </c>
      <c r="I1259" s="23" t="s">
        <v>11</v>
      </c>
    </row>
    <row r="1260" spans="1:9" ht="31.2">
      <c r="A1260" s="29">
        <v>594996</v>
      </c>
      <c r="B1260" s="8" t="s">
        <v>247</v>
      </c>
      <c r="C1260" s="35" t="s">
        <v>2498</v>
      </c>
      <c r="D1260" s="12"/>
      <c r="E1260" s="26" t="s">
        <v>14</v>
      </c>
      <c r="F1260" s="12"/>
      <c r="G1260" s="12"/>
      <c r="H1260" s="30">
        <v>24</v>
      </c>
      <c r="I1260" s="23" t="s">
        <v>18</v>
      </c>
    </row>
    <row r="1261" spans="1:9" ht="46.8">
      <c r="A1261" s="29">
        <v>601767</v>
      </c>
      <c r="B1261" s="76" t="s">
        <v>247</v>
      </c>
      <c r="C1261" s="49" t="str">
        <f>HYPERLINK("https://catalog.archives.gov/search?q=Fold3&amp;f.ancestorNaIds=601767","Muster Rolls and Personnel Diaries of US Navy Ships, Stations, and Other Naval Activities, 1949-1971")</f>
        <v>Muster Rolls and Personnel Diaries of US Navy Ships, Stations, and Other Naval Activities, 1949-1971</v>
      </c>
      <c r="D1261" s="11" t="s">
        <v>220</v>
      </c>
      <c r="E1261" s="12"/>
      <c r="F1261" s="12"/>
      <c r="G1261" s="12"/>
      <c r="H1261" s="76">
        <v>24</v>
      </c>
      <c r="I1261" s="77" t="s">
        <v>18</v>
      </c>
    </row>
    <row r="1262" spans="1:9" ht="46.8">
      <c r="A1262" s="29">
        <v>603333</v>
      </c>
      <c r="B1262" s="8" t="s">
        <v>2499</v>
      </c>
      <c r="C1262" s="16" t="s">
        <v>2500</v>
      </c>
      <c r="D1262" s="12"/>
      <c r="E1262" s="26" t="s">
        <v>14</v>
      </c>
      <c r="F1262" s="12"/>
      <c r="G1262" s="12"/>
      <c r="H1262" s="33">
        <v>38</v>
      </c>
      <c r="I1262" s="14" t="s">
        <v>15</v>
      </c>
    </row>
    <row r="1263" spans="1:9" ht="31.2">
      <c r="A1263" s="7">
        <v>7284594</v>
      </c>
      <c r="B1263" s="21" t="s">
        <v>249</v>
      </c>
      <c r="C1263" s="35" t="s">
        <v>2501</v>
      </c>
      <c r="D1263" s="11"/>
      <c r="E1263" s="12"/>
      <c r="F1263" s="39" t="s">
        <v>43</v>
      </c>
      <c r="G1263" s="12"/>
      <c r="H1263" s="20">
        <v>21</v>
      </c>
      <c r="I1263" s="14" t="s">
        <v>11</v>
      </c>
    </row>
    <row r="1264" spans="1:9" ht="46.8">
      <c r="A1264" s="29">
        <v>201532</v>
      </c>
      <c r="B1264" s="8" t="s">
        <v>249</v>
      </c>
      <c r="C1264" s="16" t="s">
        <v>2502</v>
      </c>
      <c r="D1264" s="12"/>
      <c r="E1264" s="26" t="s">
        <v>14</v>
      </c>
      <c r="F1264" s="12"/>
      <c r="G1264" s="12"/>
      <c r="H1264" s="33">
        <v>51</v>
      </c>
      <c r="I1264" s="14" t="s">
        <v>15</v>
      </c>
    </row>
    <row r="1265" spans="1:9" ht="46.8">
      <c r="A1265" s="29">
        <v>279276</v>
      </c>
      <c r="B1265" s="8" t="s">
        <v>249</v>
      </c>
      <c r="C1265" s="16" t="s">
        <v>2503</v>
      </c>
      <c r="D1265" s="12"/>
      <c r="E1265" s="26" t="s">
        <v>14</v>
      </c>
      <c r="F1265" s="12"/>
      <c r="G1265" s="12"/>
      <c r="H1265" s="33">
        <v>21</v>
      </c>
      <c r="I1265" s="14" t="s">
        <v>15</v>
      </c>
    </row>
    <row r="1266" spans="1:9" ht="31.2">
      <c r="A1266" s="8">
        <v>292683</v>
      </c>
      <c r="B1266" s="8" t="s">
        <v>249</v>
      </c>
      <c r="C1266" s="37" t="s">
        <v>2504</v>
      </c>
      <c r="D1266" s="12"/>
      <c r="E1266" s="12"/>
      <c r="F1266" s="12"/>
      <c r="G1266" s="78" t="s">
        <v>2505</v>
      </c>
      <c r="H1266" s="8">
        <v>21</v>
      </c>
      <c r="I1266" s="14" t="s">
        <v>15</v>
      </c>
    </row>
    <row r="1267" spans="1:9" ht="62.4">
      <c r="A1267" s="8">
        <v>296445</v>
      </c>
      <c r="B1267" s="8" t="s">
        <v>249</v>
      </c>
      <c r="C1267" s="54" t="str">
        <f>HYPERLINK("https://catalog.archives.gov/search?q=*:*&amp;f.parentNaId=296445&amp;f.level=fileUnit&amp;sort=naIdSort%20asc&amp;f.oldScope=online","Immigration Arrival Investigation Case Files, 1884 - 1944")</f>
        <v>Immigration Arrival Investigation Case Files, 1884 - 1944</v>
      </c>
      <c r="D1267" s="12"/>
      <c r="E1267" s="12"/>
      <c r="F1267" s="12"/>
      <c r="G1267" s="78" t="s">
        <v>2506</v>
      </c>
      <c r="H1267" s="8">
        <v>85</v>
      </c>
      <c r="I1267" s="7" t="s">
        <v>11</v>
      </c>
    </row>
    <row r="1268" spans="1:9" ht="62.4">
      <c r="A1268" s="29">
        <v>300020</v>
      </c>
      <c r="B1268" s="8" t="s">
        <v>249</v>
      </c>
      <c r="C1268" s="49" t="s">
        <v>2507</v>
      </c>
      <c r="D1268" s="32" t="s">
        <v>220</v>
      </c>
      <c r="E1268" s="12"/>
      <c r="F1268" s="32" t="s">
        <v>43</v>
      </c>
      <c r="G1268" s="12"/>
      <c r="H1268" s="33">
        <v>15</v>
      </c>
      <c r="I1268" s="23" t="s">
        <v>18</v>
      </c>
    </row>
    <row r="1269" spans="1:9" ht="62.4">
      <c r="A1269" s="79">
        <v>300398</v>
      </c>
      <c r="B1269" s="57" t="s">
        <v>249</v>
      </c>
      <c r="C1269" s="34" t="s">
        <v>2508</v>
      </c>
      <c r="D1269" s="32" t="s">
        <v>220</v>
      </c>
      <c r="E1269" s="12"/>
      <c r="F1269" s="12"/>
      <c r="G1269" s="12"/>
      <c r="H1269" s="33">
        <v>94</v>
      </c>
      <c r="I1269" s="14" t="s">
        <v>18</v>
      </c>
    </row>
    <row r="1270" spans="1:9" ht="46.8">
      <c r="A1270" s="79">
        <v>300398</v>
      </c>
      <c r="B1270" s="57" t="s">
        <v>249</v>
      </c>
      <c r="C1270" s="35" t="s">
        <v>2509</v>
      </c>
      <c r="D1270" s="32" t="s">
        <v>220</v>
      </c>
      <c r="E1270" s="12"/>
      <c r="F1270" s="12"/>
      <c r="G1270" s="12"/>
      <c r="H1270" s="33">
        <v>94</v>
      </c>
      <c r="I1270" s="23" t="s">
        <v>18</v>
      </c>
    </row>
    <row r="1271" spans="1:9" ht="62.4">
      <c r="A1271" s="79">
        <v>300398</v>
      </c>
      <c r="B1271" s="57" t="s">
        <v>249</v>
      </c>
      <c r="C1271" s="49" t="str">
        <f>HYPERLINK("https://catalog.archives.gov/search?q=pioneer%20corps&amp;f.ancestorNaIds=300398","Compiled Military Service Records of Volunteer Union Soldiers Who Served the United States Colored Troops: Pioneer Corps, 1st Division, 16 Army Corps")</f>
        <v>Compiled Military Service Records of Volunteer Union Soldiers Who Served the United States Colored Troops: Pioneer Corps, 1st Division, 16 Army Corps</v>
      </c>
      <c r="D1271" s="32" t="s">
        <v>220</v>
      </c>
      <c r="E1271" s="12"/>
      <c r="F1271" s="12"/>
      <c r="G1271" s="12"/>
      <c r="H1271" s="33">
        <v>94</v>
      </c>
      <c r="I1271" s="23" t="s">
        <v>18</v>
      </c>
    </row>
    <row r="1272" spans="1:9" ht="46.8">
      <c r="A1272" s="79">
        <v>300398</v>
      </c>
      <c r="B1272" s="57" t="s">
        <v>249</v>
      </c>
      <c r="C1272" s="49" t="str">
        <f>HYPERLINK("https://catalog.archives.gov/search?q=Massachusetts&amp;f.ancestorNaIds=300398","Compiled Service Records of Volunteer Union Soldiers Who Served in Organizations from the State of Massachusetts")</f>
        <v>Compiled Service Records of Volunteer Union Soldiers Who Served in Organizations from the State of Massachusetts</v>
      </c>
      <c r="D1272" s="32" t="s">
        <v>220</v>
      </c>
      <c r="E1272" s="12"/>
      <c r="F1272" s="12"/>
      <c r="G1272" s="12"/>
      <c r="H1272" s="33">
        <v>94</v>
      </c>
      <c r="I1272" s="23" t="s">
        <v>18</v>
      </c>
    </row>
    <row r="1273" spans="1:9" ht="31.2">
      <c r="A1273" s="29">
        <v>301658</v>
      </c>
      <c r="B1273" s="8" t="s">
        <v>249</v>
      </c>
      <c r="C1273" s="16" t="s">
        <v>2510</v>
      </c>
      <c r="D1273" s="32" t="str">
        <f>HYPERLINK("https://www.fold3.com/title/765/wwii-old-mans-draft-registration-cards","Fold3.com")</f>
        <v>Fold3.com</v>
      </c>
      <c r="E1273" s="26" t="s">
        <v>14</v>
      </c>
      <c r="F1273" s="12"/>
      <c r="G1273" s="12"/>
      <c r="H1273" s="33">
        <v>147</v>
      </c>
      <c r="I1273" s="14" t="s">
        <v>15</v>
      </c>
    </row>
    <row r="1274" spans="1:9" ht="31.2">
      <c r="A1274" s="29">
        <v>302021</v>
      </c>
      <c r="B1274" s="8" t="s">
        <v>249</v>
      </c>
      <c r="C1274" s="16" t="s">
        <v>2511</v>
      </c>
      <c r="D1274" s="12"/>
      <c r="E1274" s="26" t="s">
        <v>14</v>
      </c>
      <c r="F1274" s="12"/>
      <c r="G1274" s="12"/>
      <c r="H1274" s="33">
        <v>59</v>
      </c>
      <c r="I1274" s="14" t="s">
        <v>15</v>
      </c>
    </row>
    <row r="1275" spans="1:9" ht="31.2">
      <c r="A1275" s="29">
        <v>305276</v>
      </c>
      <c r="B1275" s="8" t="s">
        <v>249</v>
      </c>
      <c r="C1275" s="16" t="s">
        <v>2512</v>
      </c>
      <c r="D1275" s="32" t="s">
        <v>220</v>
      </c>
      <c r="E1275" s="12"/>
      <c r="F1275" s="12"/>
      <c r="G1275" s="12"/>
      <c r="H1275" s="33">
        <v>407</v>
      </c>
      <c r="I1275" s="14" t="s">
        <v>15</v>
      </c>
    </row>
    <row r="1276" spans="1:9" ht="31.2">
      <c r="A1276" s="8">
        <v>305392</v>
      </c>
      <c r="B1276" s="8" t="s">
        <v>249</v>
      </c>
      <c r="C1276" s="54" t="s">
        <v>2513</v>
      </c>
      <c r="D1276" s="31" t="str">
        <f>HYPERLINK("https://www.fold3.com/title/657/","Fold3.com")</f>
        <v>Fold3.com</v>
      </c>
      <c r="E1276" s="12"/>
      <c r="F1276" s="12"/>
      <c r="G1276" s="12"/>
      <c r="H1276" s="8">
        <v>472</v>
      </c>
      <c r="I1276" s="15" t="s">
        <v>11</v>
      </c>
    </row>
    <row r="1277" spans="1:9" ht="78">
      <c r="A1277" s="8">
        <v>305982</v>
      </c>
      <c r="B1277" s="8" t="s">
        <v>249</v>
      </c>
      <c r="C1277" s="37" t="s">
        <v>2514</v>
      </c>
      <c r="D1277" s="12"/>
      <c r="E1277" s="12"/>
      <c r="F1277" s="12"/>
      <c r="G1277" s="60" t="str">
        <f>HYPERLINK("https://ncap.org.uk/","National Collection of Aerial Photography (UK)")</f>
        <v>National Collection of Aerial Photography (UK)</v>
      </c>
      <c r="H1277" s="8">
        <v>373</v>
      </c>
      <c r="I1277" s="7" t="s">
        <v>15</v>
      </c>
    </row>
    <row r="1278" spans="1:9" ht="31.2">
      <c r="A1278" s="29">
        <v>530646</v>
      </c>
      <c r="B1278" s="8" t="s">
        <v>249</v>
      </c>
      <c r="C1278" s="49" t="str">
        <f>HYPERLINK("https://catalog.archives.gov/search?q=*:*&amp;f.ancestorNaIds=530646&amp;sort=naIdSort%20asc&amp;f.oldScope=online","Photographs of US Army Operations in Vietnam, 1963-1973")</f>
        <v>Photographs of US Army Operations in Vietnam, 1963-1973</v>
      </c>
      <c r="D1278" s="32" t="s">
        <v>220</v>
      </c>
      <c r="E1278" s="12"/>
      <c r="F1278" s="12"/>
      <c r="G1278" s="12"/>
      <c r="H1278" s="33">
        <v>111</v>
      </c>
      <c r="I1278" s="14" t="s">
        <v>18</v>
      </c>
    </row>
    <row r="1279" spans="1:9" ht="31.2">
      <c r="A1279" s="29">
        <v>532388</v>
      </c>
      <c r="B1279" s="8" t="s">
        <v>249</v>
      </c>
      <c r="C1279" s="49" t="str">
        <f>HYPERLINK("https://catalog.archives.gov/search?q=*:*&amp;f.ancestorNaIds=532388&amp;sort=naIdSort%20asc&amp;f.oldScope=online","Photographs of Marine Corps Activities in Vietnam, 1962-1975 (B/W)")</f>
        <v>Photographs of Marine Corps Activities in Vietnam, 1962-1975 (B/W)</v>
      </c>
      <c r="D1279" s="32" t="s">
        <v>220</v>
      </c>
      <c r="E1279" s="12"/>
      <c r="F1279" s="12"/>
      <c r="G1279" s="12"/>
      <c r="H1279" s="33">
        <v>127</v>
      </c>
      <c r="I1279" s="23" t="s">
        <v>11</v>
      </c>
    </row>
    <row r="1280" spans="1:9" ht="31.2">
      <c r="A1280" s="29">
        <v>532389</v>
      </c>
      <c r="B1280" s="8" t="s">
        <v>249</v>
      </c>
      <c r="C1280" s="16" t="s">
        <v>2515</v>
      </c>
      <c r="D1280" s="32" t="s">
        <v>220</v>
      </c>
      <c r="E1280" s="12"/>
      <c r="F1280" s="12"/>
      <c r="G1280" s="12"/>
      <c r="H1280" s="33">
        <v>127</v>
      </c>
      <c r="I1280" s="14" t="s">
        <v>15</v>
      </c>
    </row>
    <row r="1281" spans="1:9" ht="46.8">
      <c r="A1281" s="29">
        <v>542185</v>
      </c>
      <c r="B1281" s="8" t="s">
        <v>249</v>
      </c>
      <c r="C1281" s="35" t="str">
        <f>HYPERLINK("https://catalog.archives.gov/search?q=*:*&amp;f.ancestorNaIds=542185&amp;sort=naIdSort%20asc", "Black and White and Color Photographs of U.S. Air Force and Predecessor Agencies Activities, Facilities, and Personnel - World War II")</f>
        <v>Black and White and Color Photographs of U.S. Air Force and Predecessor Agencies Activities, Facilities, and Personnel - World War II</v>
      </c>
      <c r="D1281" s="32" t="s">
        <v>220</v>
      </c>
      <c r="E1281" s="12"/>
      <c r="F1281" s="12"/>
      <c r="G1281" s="12"/>
      <c r="H1281" s="33">
        <v>342</v>
      </c>
      <c r="I1281" s="23" t="s">
        <v>18</v>
      </c>
    </row>
    <row r="1282" spans="1:9" ht="62.4">
      <c r="A1282" s="29">
        <v>542351</v>
      </c>
      <c r="B1282" s="8" t="s">
        <v>249</v>
      </c>
      <c r="C1282" s="35" t="s">
        <v>2516</v>
      </c>
      <c r="D1282" s="32" t="str">
        <f>HYPERLINK("https://www.fold3.com/search?keywords=wwii+us+air+force+photos","Fold3.com")</f>
        <v>Fold3.com</v>
      </c>
      <c r="E1282" s="12"/>
      <c r="F1282" s="12"/>
      <c r="G1282" s="12"/>
      <c r="H1282" s="33">
        <v>342</v>
      </c>
      <c r="I1282" s="14" t="s">
        <v>18</v>
      </c>
    </row>
    <row r="1283" spans="1:9" ht="31.2">
      <c r="A1283" s="29">
        <v>558502</v>
      </c>
      <c r="B1283" s="8" t="s">
        <v>249</v>
      </c>
      <c r="C1283" s="16" t="s">
        <v>2517</v>
      </c>
      <c r="D1283" s="32" t="s">
        <v>220</v>
      </c>
      <c r="E1283" s="12"/>
      <c r="F1283" s="12"/>
      <c r="G1283" s="12"/>
      <c r="H1283" s="33">
        <v>428</v>
      </c>
      <c r="I1283" s="14" t="s">
        <v>15</v>
      </c>
    </row>
    <row r="1284" spans="1:9" ht="31.2">
      <c r="A1284" s="8">
        <v>563368</v>
      </c>
      <c r="B1284" s="8" t="s">
        <v>249</v>
      </c>
      <c r="C1284" s="37" t="s">
        <v>2518</v>
      </c>
      <c r="D1284" s="12"/>
      <c r="E1284" s="12"/>
      <c r="F1284" s="12"/>
      <c r="G1284" s="78" t="s">
        <v>2505</v>
      </c>
      <c r="H1284" s="8">
        <v>21</v>
      </c>
      <c r="I1284" s="7" t="s">
        <v>15</v>
      </c>
    </row>
    <row r="1285" spans="1:9" ht="93.6">
      <c r="A1285" s="8">
        <v>563603</v>
      </c>
      <c r="B1285" s="8" t="s">
        <v>249</v>
      </c>
      <c r="C1285" s="54" t="str">
        <f>HYPERLINK("https://catalog.archives.gov/search?q=*:*&amp;f.ancestorNaIds=563603&amp;sort=naIdSort%20asc","Muster Rolls of Naval Ships, 1/1/1860 - 6/9/1900")</f>
        <v>Muster Rolls of Naval Ships, 1/1/1860 - 6/9/1900</v>
      </c>
      <c r="D1285" s="12"/>
      <c r="E1285" s="12"/>
      <c r="F1285" s="12"/>
      <c r="G1285" s="78" t="s">
        <v>2519</v>
      </c>
      <c r="H1285" s="8">
        <v>24</v>
      </c>
      <c r="I1285" s="15" t="s">
        <v>18</v>
      </c>
    </row>
    <row r="1286" spans="1:9" ht="31.2">
      <c r="A1286" s="29">
        <v>563726</v>
      </c>
      <c r="B1286" s="8" t="s">
        <v>249</v>
      </c>
      <c r="C1286" s="16" t="s">
        <v>2520</v>
      </c>
      <c r="D1286" s="32" t="s">
        <v>220</v>
      </c>
      <c r="E1286" s="12"/>
      <c r="F1286" s="12"/>
      <c r="G1286" s="12"/>
      <c r="H1286" s="33">
        <v>147</v>
      </c>
      <c r="I1286" s="14" t="s">
        <v>15</v>
      </c>
    </row>
    <row r="1287" spans="1:9" ht="31.2">
      <c r="A1287" s="29">
        <v>563727</v>
      </c>
      <c r="B1287" s="8" t="s">
        <v>249</v>
      </c>
      <c r="C1287" s="16" t="s">
        <v>2521</v>
      </c>
      <c r="D1287" s="32" t="s">
        <v>220</v>
      </c>
      <c r="E1287" s="12"/>
      <c r="F1287" s="12"/>
      <c r="G1287" s="12"/>
      <c r="H1287" s="33">
        <v>147</v>
      </c>
      <c r="I1287" s="14" t="s">
        <v>15</v>
      </c>
    </row>
    <row r="1288" spans="1:9" ht="31.2">
      <c r="A1288" s="29">
        <v>563728</v>
      </c>
      <c r="B1288" s="8" t="s">
        <v>249</v>
      </c>
      <c r="C1288" s="34" t="s">
        <v>2522</v>
      </c>
      <c r="D1288" s="32" t="s">
        <v>220</v>
      </c>
      <c r="E1288" s="12"/>
      <c r="F1288" s="12"/>
      <c r="G1288" s="12"/>
      <c r="H1288" s="33">
        <v>147</v>
      </c>
      <c r="I1288" s="14" t="s">
        <v>11</v>
      </c>
    </row>
    <row r="1289" spans="1:9" ht="15.6">
      <c r="A1289" s="29">
        <v>563732</v>
      </c>
      <c r="B1289" s="8" t="s">
        <v>249</v>
      </c>
      <c r="C1289" s="34" t="s">
        <v>2523</v>
      </c>
      <c r="D1289" s="32" t="str">
        <f>HYPERLINK("https://www.fold3.com/title/765/wwii-old-mans-draft-registration-cards","Fold3.com")</f>
        <v>Fold3.com</v>
      </c>
      <c r="E1289" s="26" t="s">
        <v>14</v>
      </c>
      <c r="F1289" s="12"/>
      <c r="G1289" s="12"/>
      <c r="H1289" s="33">
        <v>147</v>
      </c>
      <c r="I1289" s="14" t="s">
        <v>11</v>
      </c>
    </row>
    <row r="1290" spans="1:9" ht="31.2">
      <c r="A1290" s="29">
        <v>563733</v>
      </c>
      <c r="B1290" s="8" t="s">
        <v>249</v>
      </c>
      <c r="C1290" s="34" t="s">
        <v>2524</v>
      </c>
      <c r="D1290" s="32" t="s">
        <v>220</v>
      </c>
      <c r="E1290" s="12"/>
      <c r="F1290" s="12"/>
      <c r="G1290" s="12"/>
      <c r="H1290" s="33">
        <v>147</v>
      </c>
      <c r="I1290" s="14" t="s">
        <v>11</v>
      </c>
    </row>
    <row r="1291" spans="1:9" ht="15.6">
      <c r="A1291" s="29">
        <v>563870</v>
      </c>
      <c r="B1291" s="8" t="s">
        <v>249</v>
      </c>
      <c r="C1291" s="34" t="s">
        <v>2525</v>
      </c>
      <c r="D1291" s="32" t="str">
        <f t="shared" ref="D1291:D1293" si="38">HYPERLINK("https://www.fold3.com/title/765/wwii-old-mans-draft-registration-cards","Fold3.com")</f>
        <v>Fold3.com</v>
      </c>
      <c r="E1291" s="26" t="s">
        <v>14</v>
      </c>
      <c r="F1291" s="12"/>
      <c r="G1291" s="12"/>
      <c r="H1291" s="33">
        <v>147</v>
      </c>
      <c r="I1291" s="14" t="s">
        <v>11</v>
      </c>
    </row>
    <row r="1292" spans="1:9" ht="31.2">
      <c r="A1292" s="29">
        <v>563991</v>
      </c>
      <c r="B1292" s="8" t="s">
        <v>249</v>
      </c>
      <c r="C1292" s="16" t="s">
        <v>2526</v>
      </c>
      <c r="D1292" s="32" t="str">
        <f t="shared" si="38"/>
        <v>Fold3.com</v>
      </c>
      <c r="E1292" s="26" t="s">
        <v>14</v>
      </c>
      <c r="F1292" s="12"/>
      <c r="G1292" s="12"/>
      <c r="H1292" s="33">
        <v>147</v>
      </c>
      <c r="I1292" s="14" t="s">
        <v>15</v>
      </c>
    </row>
    <row r="1293" spans="1:9" ht="31.2">
      <c r="A1293" s="29">
        <v>563992</v>
      </c>
      <c r="B1293" s="8" t="s">
        <v>249</v>
      </c>
      <c r="C1293" s="16" t="s">
        <v>2527</v>
      </c>
      <c r="D1293" s="32" t="str">
        <f t="shared" si="38"/>
        <v>Fold3.com</v>
      </c>
      <c r="E1293" s="26" t="s">
        <v>14</v>
      </c>
      <c r="F1293" s="12"/>
      <c r="G1293" s="12"/>
      <c r="H1293" s="33">
        <v>147</v>
      </c>
      <c r="I1293" s="14" t="s">
        <v>15</v>
      </c>
    </row>
    <row r="1294" spans="1:9" ht="31.2">
      <c r="A1294" s="29">
        <v>564415</v>
      </c>
      <c r="B1294" s="8" t="s">
        <v>249</v>
      </c>
      <c r="C1294" s="49" t="s">
        <v>2528</v>
      </c>
      <c r="D1294" s="32" t="s">
        <v>220</v>
      </c>
      <c r="E1294" s="12"/>
      <c r="F1294" s="12"/>
      <c r="G1294" s="12"/>
      <c r="H1294" s="33">
        <v>15</v>
      </c>
      <c r="I1294" s="23" t="s">
        <v>18</v>
      </c>
    </row>
    <row r="1295" spans="1:9" ht="31.2">
      <c r="A1295" s="29">
        <v>566157</v>
      </c>
      <c r="B1295" s="8" t="s">
        <v>249</v>
      </c>
      <c r="C1295" s="49" t="s">
        <v>2529</v>
      </c>
      <c r="D1295" s="26" t="s">
        <v>220</v>
      </c>
      <c r="E1295" s="12"/>
      <c r="F1295" s="12"/>
      <c r="G1295" s="12"/>
      <c r="H1295" s="33">
        <v>217</v>
      </c>
      <c r="I1295" s="23" t="s">
        <v>18</v>
      </c>
    </row>
    <row r="1296" spans="1:9" ht="46.8">
      <c r="A1296" s="29">
        <v>566197</v>
      </c>
      <c r="B1296" s="8" t="s">
        <v>249</v>
      </c>
      <c r="C1296" s="37" t="s">
        <v>2530</v>
      </c>
      <c r="D1296" s="12"/>
      <c r="E1296" s="12"/>
      <c r="F1296" s="32" t="s">
        <v>43</v>
      </c>
      <c r="G1296" s="12"/>
      <c r="H1296" s="33">
        <v>21</v>
      </c>
      <c r="I1296" s="14" t="s">
        <v>15</v>
      </c>
    </row>
    <row r="1297" spans="1:9" ht="62.4">
      <c r="A1297" s="8">
        <v>566993</v>
      </c>
      <c r="B1297" s="8" t="s">
        <v>249</v>
      </c>
      <c r="C1297" s="54" t="str">
        <f>HYPERLINK("https://catalog.archives.gov/search?q=*:*&amp;f.ancestorNaIds=566993&amp;sort=naIdSort%20asc","Dividend Payment Record of the Freedman's Savings and Trust Company, 1882 - 1889")</f>
        <v>Dividend Payment Record of the Freedman's Savings and Trust Company, 1882 - 1889</v>
      </c>
      <c r="D1297" s="12"/>
      <c r="E1297" s="12"/>
      <c r="F1297" s="12"/>
      <c r="G1297" s="60" t="str">
        <f t="shared" ref="G1297:G1299" si="39">HYPERLINK("https://fraser.stlouisfed.org/archival/5563","Federal Reserve Bank of St. Louis")</f>
        <v>Federal Reserve Bank of St. Louis</v>
      </c>
      <c r="H1297" s="8">
        <v>101</v>
      </c>
      <c r="I1297" s="15" t="s">
        <v>11</v>
      </c>
    </row>
    <row r="1298" spans="1:9" ht="62.4">
      <c r="A1298" s="8">
        <v>567231</v>
      </c>
      <c r="B1298" s="8" t="s">
        <v>249</v>
      </c>
      <c r="C1298" s="54" t="str">
        <f>HYPERLINK("https://catalog.archives.gov/search?q=*:*&amp;f.ancestorNaIds=567231&amp;sort=naIdSort%20asc","Loan and Real Estate Ledgers and Journals of the Freedman's Savings and Trust Company, 1870 - 1916")</f>
        <v>Loan and Real Estate Ledgers and Journals of the Freedman's Savings and Trust Company, 1870 - 1916</v>
      </c>
      <c r="D1298" s="12"/>
      <c r="E1298" s="12"/>
      <c r="F1298" s="12"/>
      <c r="G1298" s="60" t="str">
        <f t="shared" si="39"/>
        <v>Federal Reserve Bank of St. Louis</v>
      </c>
      <c r="H1298" s="8">
        <v>101</v>
      </c>
      <c r="I1298" s="15" t="s">
        <v>11</v>
      </c>
    </row>
    <row r="1299" spans="1:9" ht="62.4">
      <c r="A1299" s="8">
        <v>567353</v>
      </c>
      <c r="B1299" s="8" t="s">
        <v>249</v>
      </c>
      <c r="C1299" s="54" t="str">
        <f>HYPERLINK("https://catalog.archives.gov/search?q=*:*&amp;f.ancestorNaIds=567353&amp;sort=naIdSort%20asc","Finance and Accounting Records of the Freedman's Savings and Trust Company, 1870 - 1908")</f>
        <v>Finance and Accounting Records of the Freedman's Savings and Trust Company, 1870 - 1908</v>
      </c>
      <c r="D1299" s="12"/>
      <c r="E1299" s="12"/>
      <c r="F1299" s="12"/>
      <c r="G1299" s="60" t="str">
        <f t="shared" si="39"/>
        <v>Federal Reserve Bank of St. Louis</v>
      </c>
      <c r="H1299" s="8">
        <v>101</v>
      </c>
      <c r="I1299" s="15" t="s">
        <v>11</v>
      </c>
    </row>
    <row r="1300" spans="1:9" ht="46.8">
      <c r="A1300" s="8">
        <v>570363</v>
      </c>
      <c r="B1300" s="8" t="s">
        <v>249</v>
      </c>
      <c r="C1300" s="35" t="s">
        <v>2531</v>
      </c>
      <c r="D1300" s="12"/>
      <c r="E1300" s="12"/>
      <c r="F1300" s="31" t="str">
        <f>HYPERLINK("https://www.familysearch.org/search/catalog/2829485","FamilySearch.org")</f>
        <v>FamilySearch.org</v>
      </c>
      <c r="G1300" s="12"/>
      <c r="H1300" s="8">
        <v>21</v>
      </c>
      <c r="I1300" s="15" t="s">
        <v>18</v>
      </c>
    </row>
    <row r="1301" spans="1:9" ht="46.8">
      <c r="A1301" s="29">
        <v>570416</v>
      </c>
      <c r="B1301" s="8" t="s">
        <v>249</v>
      </c>
      <c r="C1301" s="16" t="s">
        <v>2532</v>
      </c>
      <c r="D1301" s="12"/>
      <c r="E1301" s="26" t="s">
        <v>14</v>
      </c>
      <c r="F1301" s="12"/>
      <c r="G1301" s="12"/>
      <c r="H1301" s="33">
        <v>21</v>
      </c>
      <c r="I1301" s="14" t="s">
        <v>15</v>
      </c>
    </row>
    <row r="1302" spans="1:9" ht="31.2">
      <c r="A1302" s="29">
        <v>570417</v>
      </c>
      <c r="B1302" s="8" t="s">
        <v>249</v>
      </c>
      <c r="C1302" s="16" t="s">
        <v>2533</v>
      </c>
      <c r="D1302" s="12"/>
      <c r="E1302" s="26" t="s">
        <v>14</v>
      </c>
      <c r="F1302" s="12"/>
      <c r="G1302" s="12"/>
      <c r="H1302" s="33">
        <v>21</v>
      </c>
      <c r="I1302" s="14" t="s">
        <v>15</v>
      </c>
    </row>
    <row r="1303" spans="1:9" ht="46.8">
      <c r="A1303" s="8">
        <v>570549</v>
      </c>
      <c r="B1303" s="8" t="s">
        <v>249</v>
      </c>
      <c r="C1303" s="37" t="s">
        <v>2534</v>
      </c>
      <c r="D1303" s="12"/>
      <c r="E1303" s="12"/>
      <c r="F1303" s="26" t="s">
        <v>43</v>
      </c>
      <c r="G1303" s="12"/>
      <c r="H1303" s="8">
        <v>21</v>
      </c>
      <c r="I1303" s="7" t="s">
        <v>15</v>
      </c>
    </row>
    <row r="1304" spans="1:9" ht="46.8">
      <c r="A1304" s="8">
        <v>570711</v>
      </c>
      <c r="B1304" s="8" t="s">
        <v>249</v>
      </c>
      <c r="C1304" s="37" t="s">
        <v>2535</v>
      </c>
      <c r="D1304" s="12"/>
      <c r="E1304" s="12"/>
      <c r="F1304" s="31" t="str">
        <f>HYPERLINK("https://www.familysearch.org/search/catalog/3328317","FamilySearch.org")</f>
        <v>FamilySearch.org</v>
      </c>
      <c r="G1304" s="12"/>
      <c r="H1304" s="8">
        <v>21</v>
      </c>
      <c r="I1304" s="7" t="s">
        <v>15</v>
      </c>
    </row>
    <row r="1305" spans="1:9" ht="46.8">
      <c r="A1305" s="29">
        <v>570966</v>
      </c>
      <c r="B1305" s="8" t="s">
        <v>249</v>
      </c>
      <c r="C1305" s="16" t="s">
        <v>2536</v>
      </c>
      <c r="D1305" s="12"/>
      <c r="E1305" s="26" t="s">
        <v>14</v>
      </c>
      <c r="F1305" s="12"/>
      <c r="G1305" s="12"/>
      <c r="H1305" s="33">
        <v>21</v>
      </c>
      <c r="I1305" s="14" t="s">
        <v>15</v>
      </c>
    </row>
    <row r="1306" spans="1:9" ht="46.8">
      <c r="A1306" s="29">
        <v>570968</v>
      </c>
      <c r="B1306" s="8" t="s">
        <v>249</v>
      </c>
      <c r="C1306" s="16" t="s">
        <v>2537</v>
      </c>
      <c r="D1306" s="12"/>
      <c r="E1306" s="32" t="str">
        <f>HYPERLINK("https://search.ancestryinstitution.com/search/db.aspx?dbid=2509","Ancestry.com")</f>
        <v>Ancestry.com</v>
      </c>
      <c r="F1306" s="12"/>
      <c r="G1306" s="12"/>
      <c r="H1306" s="33"/>
      <c r="I1306" s="14" t="s">
        <v>15</v>
      </c>
    </row>
    <row r="1307" spans="1:9" ht="46.8">
      <c r="A1307" s="29">
        <v>570974</v>
      </c>
      <c r="B1307" s="8" t="s">
        <v>249</v>
      </c>
      <c r="C1307" s="16" t="s">
        <v>2538</v>
      </c>
      <c r="D1307" s="12"/>
      <c r="E1307" s="26" t="s">
        <v>14</v>
      </c>
      <c r="F1307" s="12"/>
      <c r="G1307" s="12"/>
      <c r="H1307" s="33">
        <v>21</v>
      </c>
      <c r="I1307" s="14" t="s">
        <v>15</v>
      </c>
    </row>
    <row r="1308" spans="1:9" ht="46.8">
      <c r="A1308" s="29">
        <v>570976</v>
      </c>
      <c r="B1308" s="8" t="s">
        <v>249</v>
      </c>
      <c r="C1308" s="16" t="s">
        <v>2539</v>
      </c>
      <c r="D1308" s="12"/>
      <c r="E1308" s="26" t="s">
        <v>14</v>
      </c>
      <c r="F1308" s="12"/>
      <c r="G1308" s="12"/>
      <c r="H1308" s="33">
        <v>21</v>
      </c>
      <c r="I1308" s="14" t="s">
        <v>15</v>
      </c>
    </row>
    <row r="1309" spans="1:9" ht="31.2">
      <c r="A1309" s="8">
        <v>571020</v>
      </c>
      <c r="B1309" s="8" t="s">
        <v>249</v>
      </c>
      <c r="C1309" s="80" t="s">
        <v>2540</v>
      </c>
      <c r="D1309" s="12"/>
      <c r="E1309" s="12"/>
      <c r="F1309" s="31" t="str">
        <f>HYPERLINK("https://www.familysearch.org/search/catalog/2827674","FamilySearch.org")</f>
        <v>FamilySearch.org</v>
      </c>
      <c r="G1309" s="12"/>
      <c r="H1309" s="8">
        <v>21</v>
      </c>
      <c r="I1309" s="7" t="s">
        <v>15</v>
      </c>
    </row>
    <row r="1310" spans="1:9" ht="46.8">
      <c r="A1310" s="8">
        <v>571024</v>
      </c>
      <c r="B1310" s="8" t="s">
        <v>249</v>
      </c>
      <c r="C1310" s="37" t="s">
        <v>2541</v>
      </c>
      <c r="D1310" s="12"/>
      <c r="E1310" s="12"/>
      <c r="F1310" s="31" t="str">
        <f>HYPERLINK("https://www.familysearch.org/search/catalog/2820312","FamilySearch.org")</f>
        <v>FamilySearch.org</v>
      </c>
      <c r="G1310" s="12"/>
      <c r="H1310" s="8">
        <v>21</v>
      </c>
      <c r="I1310" s="7" t="s">
        <v>15</v>
      </c>
    </row>
    <row r="1311" spans="1:9" ht="31.2">
      <c r="A1311" s="29">
        <v>571125</v>
      </c>
      <c r="B1311" s="8" t="s">
        <v>249</v>
      </c>
      <c r="C1311" s="49" t="str">
        <f>HYPERLINK("https://www.archives.gov/kansas-city/finding-aids/leavenworth-penitentiary   ","Name Index to Inmate Case Files, U.S. Penitentiary, Leavenworth, Kansas, 1895-1931")</f>
        <v>Name Index to Inmate Case Files, U.S. Penitentiary, Leavenworth, Kansas, 1895-1931</v>
      </c>
      <c r="D1311" s="12"/>
      <c r="E1311" s="26" t="s">
        <v>14</v>
      </c>
      <c r="F1311" s="12"/>
      <c r="G1311" s="12"/>
      <c r="H1311" s="33">
        <v>129</v>
      </c>
      <c r="I1311" s="23" t="s">
        <v>11</v>
      </c>
    </row>
    <row r="1312" spans="1:9" ht="46.8">
      <c r="A1312" s="29">
        <v>571496</v>
      </c>
      <c r="B1312" s="8" t="s">
        <v>249</v>
      </c>
      <c r="C1312" s="16" t="s">
        <v>2542</v>
      </c>
      <c r="D1312" s="12"/>
      <c r="E1312" s="26" t="s">
        <v>14</v>
      </c>
      <c r="F1312" s="12"/>
      <c r="G1312" s="12"/>
      <c r="H1312" s="33">
        <v>21</v>
      </c>
      <c r="I1312" s="14" t="s">
        <v>15</v>
      </c>
    </row>
    <row r="1313" spans="1:9" ht="46.8">
      <c r="A1313" s="29">
        <v>571499</v>
      </c>
      <c r="B1313" s="8" t="s">
        <v>249</v>
      </c>
      <c r="C1313" s="16" t="s">
        <v>2543</v>
      </c>
      <c r="D1313" s="12"/>
      <c r="E1313" s="26" t="s">
        <v>14</v>
      </c>
      <c r="F1313" s="12"/>
      <c r="G1313" s="12"/>
      <c r="H1313" s="33">
        <v>21</v>
      </c>
      <c r="I1313" s="14" t="s">
        <v>15</v>
      </c>
    </row>
    <row r="1314" spans="1:9" ht="46.8">
      <c r="A1314" s="29">
        <v>571503</v>
      </c>
      <c r="B1314" s="8" t="s">
        <v>249</v>
      </c>
      <c r="C1314" s="16" t="s">
        <v>2544</v>
      </c>
      <c r="D1314" s="12"/>
      <c r="E1314" s="26" t="s">
        <v>14</v>
      </c>
      <c r="F1314" s="12"/>
      <c r="G1314" s="12"/>
      <c r="H1314" s="33">
        <v>21</v>
      </c>
      <c r="I1314" s="14" t="s">
        <v>15</v>
      </c>
    </row>
    <row r="1315" spans="1:9" ht="46.8">
      <c r="A1315" s="29">
        <v>571504</v>
      </c>
      <c r="B1315" s="8" t="s">
        <v>249</v>
      </c>
      <c r="C1315" s="16" t="s">
        <v>2545</v>
      </c>
      <c r="D1315" s="12"/>
      <c r="E1315" s="26" t="s">
        <v>14</v>
      </c>
      <c r="F1315" s="12"/>
      <c r="G1315" s="12"/>
      <c r="H1315" s="33">
        <v>21</v>
      </c>
      <c r="I1315" s="14" t="s">
        <v>15</v>
      </c>
    </row>
    <row r="1316" spans="1:9" ht="46.8">
      <c r="A1316" s="29">
        <v>571505</v>
      </c>
      <c r="B1316" s="8" t="s">
        <v>249</v>
      </c>
      <c r="C1316" s="16" t="s">
        <v>2546</v>
      </c>
      <c r="D1316" s="12"/>
      <c r="E1316" s="26" t="s">
        <v>14</v>
      </c>
      <c r="F1316" s="12"/>
      <c r="G1316" s="12"/>
      <c r="H1316" s="33">
        <v>21</v>
      </c>
      <c r="I1316" s="14" t="s">
        <v>15</v>
      </c>
    </row>
    <row r="1317" spans="1:9" ht="31.2">
      <c r="A1317" s="29">
        <v>571506</v>
      </c>
      <c r="B1317" s="8" t="s">
        <v>249</v>
      </c>
      <c r="C1317" s="16" t="s">
        <v>2547</v>
      </c>
      <c r="D1317" s="12"/>
      <c r="E1317" s="26" t="s">
        <v>14</v>
      </c>
      <c r="F1317" s="12"/>
      <c r="G1317" s="12"/>
      <c r="H1317" s="33">
        <v>21</v>
      </c>
      <c r="I1317" s="14" t="s">
        <v>15</v>
      </c>
    </row>
    <row r="1318" spans="1:9" ht="46.8">
      <c r="A1318" s="29">
        <v>571507</v>
      </c>
      <c r="B1318" s="8" t="s">
        <v>249</v>
      </c>
      <c r="C1318" s="16" t="s">
        <v>2548</v>
      </c>
      <c r="D1318" s="12"/>
      <c r="E1318" s="26" t="s">
        <v>14</v>
      </c>
      <c r="F1318" s="12"/>
      <c r="G1318" s="12"/>
      <c r="H1318" s="33">
        <v>21</v>
      </c>
      <c r="I1318" s="14" t="s">
        <v>15</v>
      </c>
    </row>
    <row r="1319" spans="1:9" ht="46.8">
      <c r="A1319" s="29">
        <v>571508</v>
      </c>
      <c r="B1319" s="8" t="s">
        <v>249</v>
      </c>
      <c r="C1319" s="16" t="s">
        <v>2549</v>
      </c>
      <c r="D1319" s="12"/>
      <c r="E1319" s="26" t="s">
        <v>14</v>
      </c>
      <c r="F1319" s="12"/>
      <c r="G1319" s="12"/>
      <c r="H1319" s="33">
        <v>21</v>
      </c>
      <c r="I1319" s="14" t="s">
        <v>15</v>
      </c>
    </row>
    <row r="1320" spans="1:9" ht="46.8">
      <c r="A1320" s="8">
        <v>571876</v>
      </c>
      <c r="B1320" s="8" t="s">
        <v>249</v>
      </c>
      <c r="C1320" s="37" t="s">
        <v>2550</v>
      </c>
      <c r="D1320" s="12"/>
      <c r="E1320" s="12"/>
      <c r="F1320" s="31" t="str">
        <f>HYPERLINK("https://www.familysearch.org/search/catalog/436973","FamilySearch.org")</f>
        <v>FamilySearch.org</v>
      </c>
      <c r="G1320" s="12"/>
      <c r="H1320" s="8">
        <v>21</v>
      </c>
      <c r="I1320" s="7" t="s">
        <v>15</v>
      </c>
    </row>
    <row r="1321" spans="1:9" ht="31.2">
      <c r="A1321" s="8">
        <v>572203</v>
      </c>
      <c r="B1321" s="8" t="s">
        <v>249</v>
      </c>
      <c r="C1321" s="35" t="s">
        <v>2551</v>
      </c>
      <c r="D1321" s="12"/>
      <c r="E1321" s="12"/>
      <c r="F1321" s="31" t="str">
        <f>HYPERLINK("https://www.familysearch.org/search/catalog/2827676","FamilySearch.org")</f>
        <v>FamilySearch.org</v>
      </c>
      <c r="G1321" s="12"/>
      <c r="H1321" s="8">
        <v>21</v>
      </c>
      <c r="I1321" s="15" t="s">
        <v>11</v>
      </c>
    </row>
    <row r="1322" spans="1:9" ht="46.8">
      <c r="A1322" s="29">
        <v>572253</v>
      </c>
      <c r="B1322" s="8" t="s">
        <v>249</v>
      </c>
      <c r="C1322" s="16" t="s">
        <v>2552</v>
      </c>
      <c r="D1322" s="12"/>
      <c r="E1322" s="26" t="s">
        <v>14</v>
      </c>
      <c r="F1322" s="12"/>
      <c r="G1322" s="12"/>
      <c r="H1322" s="33">
        <v>21</v>
      </c>
      <c r="I1322" s="14" t="s">
        <v>15</v>
      </c>
    </row>
    <row r="1323" spans="1:9" ht="31.2">
      <c r="A1323" s="8">
        <v>572799</v>
      </c>
      <c r="B1323" s="8" t="s">
        <v>249</v>
      </c>
      <c r="C1323" s="37" t="s">
        <v>2553</v>
      </c>
      <c r="D1323" s="12"/>
      <c r="E1323" s="12"/>
      <c r="F1323" s="12"/>
      <c r="G1323" s="78" t="s">
        <v>2505</v>
      </c>
      <c r="H1323" s="8">
        <v>21</v>
      </c>
      <c r="I1323" s="14" t="s">
        <v>15</v>
      </c>
    </row>
    <row r="1324" spans="1:9" ht="46.8">
      <c r="A1324" s="8">
        <v>572822</v>
      </c>
      <c r="B1324" s="8" t="s">
        <v>249</v>
      </c>
      <c r="C1324" s="37" t="s">
        <v>2554</v>
      </c>
      <c r="D1324" s="12"/>
      <c r="E1324" s="12"/>
      <c r="F1324" s="12"/>
      <c r="G1324" s="78" t="s">
        <v>2505</v>
      </c>
      <c r="H1324" s="8">
        <v>21</v>
      </c>
      <c r="I1324" s="14" t="s">
        <v>15</v>
      </c>
    </row>
    <row r="1325" spans="1:9" ht="46.8">
      <c r="A1325" s="8">
        <v>572929</v>
      </c>
      <c r="B1325" s="8" t="s">
        <v>249</v>
      </c>
      <c r="C1325" s="37" t="s">
        <v>2555</v>
      </c>
      <c r="D1325" s="12"/>
      <c r="E1325" s="12"/>
      <c r="F1325" s="12"/>
      <c r="G1325" s="78" t="s">
        <v>2505</v>
      </c>
      <c r="H1325" s="8">
        <v>21</v>
      </c>
      <c r="I1325" s="14" t="s">
        <v>15</v>
      </c>
    </row>
    <row r="1326" spans="1:9" ht="46.8">
      <c r="A1326" s="8">
        <v>572931</v>
      </c>
      <c r="B1326" s="8" t="s">
        <v>249</v>
      </c>
      <c r="C1326" s="37" t="s">
        <v>2556</v>
      </c>
      <c r="D1326" s="12"/>
      <c r="E1326" s="12"/>
      <c r="F1326" s="12"/>
      <c r="G1326" s="78" t="s">
        <v>2505</v>
      </c>
      <c r="H1326" s="8">
        <v>21</v>
      </c>
      <c r="I1326" s="14" t="s">
        <v>15</v>
      </c>
    </row>
    <row r="1327" spans="1:9" ht="46.8">
      <c r="A1327" s="8">
        <v>572933</v>
      </c>
      <c r="B1327" s="8" t="s">
        <v>249</v>
      </c>
      <c r="C1327" s="37" t="s">
        <v>2557</v>
      </c>
      <c r="D1327" s="12"/>
      <c r="E1327" s="12"/>
      <c r="F1327" s="12"/>
      <c r="G1327" s="78" t="s">
        <v>2505</v>
      </c>
      <c r="H1327" s="8">
        <v>21</v>
      </c>
      <c r="I1327" s="14" t="s">
        <v>15</v>
      </c>
    </row>
    <row r="1328" spans="1:9" ht="46.8">
      <c r="A1328" s="8">
        <v>572941</v>
      </c>
      <c r="B1328" s="8" t="s">
        <v>249</v>
      </c>
      <c r="C1328" s="37" t="s">
        <v>2558</v>
      </c>
      <c r="D1328" s="12"/>
      <c r="E1328" s="12"/>
      <c r="F1328" s="12"/>
      <c r="G1328" s="78" t="s">
        <v>2505</v>
      </c>
      <c r="H1328" s="8">
        <v>21</v>
      </c>
      <c r="I1328" s="14" t="s">
        <v>15</v>
      </c>
    </row>
    <row r="1329" spans="1:9" ht="46.8">
      <c r="A1329" s="8">
        <v>572947</v>
      </c>
      <c r="B1329" s="8" t="s">
        <v>249</v>
      </c>
      <c r="C1329" s="37" t="s">
        <v>2559</v>
      </c>
      <c r="D1329" s="12"/>
      <c r="E1329" s="12"/>
      <c r="F1329" s="12"/>
      <c r="G1329" s="78" t="s">
        <v>2505</v>
      </c>
      <c r="H1329" s="8">
        <v>21</v>
      </c>
      <c r="I1329" s="14" t="s">
        <v>15</v>
      </c>
    </row>
    <row r="1330" spans="1:9" ht="46.8">
      <c r="A1330" s="8">
        <v>572982</v>
      </c>
      <c r="B1330" s="8" t="s">
        <v>249</v>
      </c>
      <c r="C1330" s="37" t="s">
        <v>2560</v>
      </c>
      <c r="D1330" s="12"/>
      <c r="E1330" s="12"/>
      <c r="F1330" s="12"/>
      <c r="G1330" s="78" t="s">
        <v>2505</v>
      </c>
      <c r="H1330" s="8">
        <v>21</v>
      </c>
      <c r="I1330" s="14" t="s">
        <v>15</v>
      </c>
    </row>
    <row r="1331" spans="1:9" ht="46.8">
      <c r="A1331" s="8">
        <v>573002</v>
      </c>
      <c r="B1331" s="8" t="s">
        <v>249</v>
      </c>
      <c r="C1331" s="37" t="s">
        <v>2561</v>
      </c>
      <c r="D1331" s="12"/>
      <c r="E1331" s="12"/>
      <c r="F1331" s="12"/>
      <c r="G1331" s="78" t="s">
        <v>2505</v>
      </c>
      <c r="H1331" s="8">
        <v>21</v>
      </c>
      <c r="I1331" s="14" t="s">
        <v>15</v>
      </c>
    </row>
    <row r="1332" spans="1:9" ht="46.8">
      <c r="A1332" s="29">
        <v>573395</v>
      </c>
      <c r="B1332" s="8" t="s">
        <v>249</v>
      </c>
      <c r="C1332" s="16" t="s">
        <v>2562</v>
      </c>
      <c r="D1332" s="12"/>
      <c r="E1332" s="26" t="s">
        <v>14</v>
      </c>
      <c r="F1332" s="12"/>
      <c r="G1332" s="12"/>
      <c r="H1332" s="33">
        <v>21</v>
      </c>
      <c r="I1332" s="14" t="s">
        <v>15</v>
      </c>
    </row>
    <row r="1333" spans="1:9" ht="46.8">
      <c r="A1333" s="8">
        <v>573448</v>
      </c>
      <c r="B1333" s="8" t="s">
        <v>249</v>
      </c>
      <c r="C1333" s="37" t="s">
        <v>2563</v>
      </c>
      <c r="D1333" s="12"/>
      <c r="E1333" s="12"/>
      <c r="F1333" s="12"/>
      <c r="G1333" s="78" t="s">
        <v>2505</v>
      </c>
      <c r="H1333" s="8">
        <v>21</v>
      </c>
      <c r="I1333" s="14" t="s">
        <v>15</v>
      </c>
    </row>
    <row r="1334" spans="1:9" ht="46.8">
      <c r="A1334" s="29">
        <v>575731</v>
      </c>
      <c r="B1334" s="8" t="s">
        <v>249</v>
      </c>
      <c r="C1334" s="16" t="s">
        <v>2564</v>
      </c>
      <c r="D1334" s="12"/>
      <c r="E1334" s="26" t="s">
        <v>14</v>
      </c>
      <c r="F1334" s="12"/>
      <c r="G1334" s="12"/>
      <c r="H1334" s="33">
        <v>21</v>
      </c>
      <c r="I1334" s="14" t="s">
        <v>15</v>
      </c>
    </row>
    <row r="1335" spans="1:9" ht="46.8">
      <c r="A1335" s="29">
        <v>575770</v>
      </c>
      <c r="B1335" s="8" t="s">
        <v>249</v>
      </c>
      <c r="C1335" s="16" t="s">
        <v>2565</v>
      </c>
      <c r="D1335" s="12"/>
      <c r="E1335" s="26" t="s">
        <v>14</v>
      </c>
      <c r="F1335" s="12"/>
      <c r="G1335" s="12"/>
      <c r="H1335" s="33">
        <v>21</v>
      </c>
      <c r="I1335" s="14" t="s">
        <v>15</v>
      </c>
    </row>
    <row r="1336" spans="1:9" ht="46.8">
      <c r="A1336" s="29">
        <v>575781</v>
      </c>
      <c r="B1336" s="8" t="s">
        <v>249</v>
      </c>
      <c r="C1336" s="16" t="s">
        <v>2566</v>
      </c>
      <c r="D1336" s="12"/>
      <c r="E1336" s="26" t="s">
        <v>14</v>
      </c>
      <c r="F1336" s="12"/>
      <c r="G1336" s="12"/>
      <c r="H1336" s="33">
        <v>21</v>
      </c>
      <c r="I1336" s="14" t="s">
        <v>15</v>
      </c>
    </row>
    <row r="1337" spans="1:9" ht="31.2">
      <c r="A1337" s="29">
        <v>575784</v>
      </c>
      <c r="B1337" s="8" t="s">
        <v>249</v>
      </c>
      <c r="C1337" s="16" t="s">
        <v>2567</v>
      </c>
      <c r="D1337" s="12"/>
      <c r="E1337" s="26" t="s">
        <v>14</v>
      </c>
      <c r="F1337" s="12"/>
      <c r="G1337" s="12"/>
      <c r="H1337" s="33">
        <v>21</v>
      </c>
      <c r="I1337" s="14" t="s">
        <v>15</v>
      </c>
    </row>
    <row r="1338" spans="1:9" ht="31.2">
      <c r="A1338" s="29">
        <v>576245</v>
      </c>
      <c r="B1338" s="8" t="s">
        <v>249</v>
      </c>
      <c r="C1338" s="16" t="s">
        <v>2568</v>
      </c>
      <c r="D1338" s="32" t="str">
        <f t="shared" ref="D1338:D1341" si="40">HYPERLINK("https://www.fold3.com/title/765/wwii-old-mans-draft-registration-cards","Fold3.com")</f>
        <v>Fold3.com</v>
      </c>
      <c r="E1338" s="26" t="s">
        <v>14</v>
      </c>
      <c r="F1338" s="12"/>
      <c r="G1338" s="12"/>
      <c r="H1338" s="33">
        <v>147</v>
      </c>
      <c r="I1338" s="14" t="s">
        <v>15</v>
      </c>
    </row>
    <row r="1339" spans="1:9" ht="31.2">
      <c r="A1339" s="29">
        <v>576248</v>
      </c>
      <c r="B1339" s="8" t="s">
        <v>249</v>
      </c>
      <c r="C1339" s="34" t="s">
        <v>2569</v>
      </c>
      <c r="D1339" s="32" t="str">
        <f t="shared" si="40"/>
        <v>Fold3.com</v>
      </c>
      <c r="E1339" s="26" t="s">
        <v>14</v>
      </c>
      <c r="F1339" s="12"/>
      <c r="G1339" s="12"/>
      <c r="H1339" s="33">
        <v>147</v>
      </c>
      <c r="I1339" s="14" t="s">
        <v>11</v>
      </c>
    </row>
    <row r="1340" spans="1:9" ht="31.2">
      <c r="A1340" s="29">
        <v>576250</v>
      </c>
      <c r="B1340" s="8" t="s">
        <v>249</v>
      </c>
      <c r="C1340" s="34" t="s">
        <v>2570</v>
      </c>
      <c r="D1340" s="32" t="str">
        <f t="shared" si="40"/>
        <v>Fold3.com</v>
      </c>
      <c r="E1340" s="26" t="s">
        <v>14</v>
      </c>
      <c r="F1340" s="12"/>
      <c r="G1340" s="12"/>
      <c r="H1340" s="33">
        <v>147</v>
      </c>
      <c r="I1340" s="14" t="s">
        <v>11</v>
      </c>
    </row>
    <row r="1341" spans="1:9" ht="31.2">
      <c r="A1341" s="29">
        <v>576252</v>
      </c>
      <c r="B1341" s="8" t="s">
        <v>249</v>
      </c>
      <c r="C1341" s="16" t="s">
        <v>2571</v>
      </c>
      <c r="D1341" s="32" t="str">
        <f t="shared" si="40"/>
        <v>Fold3.com</v>
      </c>
      <c r="E1341" s="26" t="s">
        <v>14</v>
      </c>
      <c r="F1341" s="12"/>
      <c r="G1341" s="12"/>
      <c r="H1341" s="33">
        <v>147</v>
      </c>
      <c r="I1341" s="14" t="s">
        <v>15</v>
      </c>
    </row>
    <row r="1342" spans="1:9" ht="31.2">
      <c r="A1342" s="29">
        <v>576580</v>
      </c>
      <c r="B1342" s="8" t="s">
        <v>249</v>
      </c>
      <c r="C1342" s="35" t="s">
        <v>2572</v>
      </c>
      <c r="D1342" s="12"/>
      <c r="E1342" s="26" t="s">
        <v>14</v>
      </c>
      <c r="F1342" s="12"/>
      <c r="G1342" s="12"/>
      <c r="H1342" s="33">
        <v>147</v>
      </c>
      <c r="I1342" s="23" t="s">
        <v>11</v>
      </c>
    </row>
    <row r="1343" spans="1:9" ht="31.2">
      <c r="A1343" s="29">
        <v>576612</v>
      </c>
      <c r="B1343" s="8" t="s">
        <v>249</v>
      </c>
      <c r="C1343" s="16" t="s">
        <v>2573</v>
      </c>
      <c r="D1343" s="12"/>
      <c r="E1343" s="26" t="s">
        <v>14</v>
      </c>
      <c r="F1343" s="12"/>
      <c r="G1343" s="12"/>
      <c r="H1343" s="33">
        <v>147</v>
      </c>
      <c r="I1343" s="14" t="s">
        <v>15</v>
      </c>
    </row>
    <row r="1344" spans="1:9" ht="31.2">
      <c r="A1344" s="29">
        <v>576614</v>
      </c>
      <c r="B1344" s="8" t="s">
        <v>249</v>
      </c>
      <c r="C1344" s="16" t="s">
        <v>2574</v>
      </c>
      <c r="D1344" s="12"/>
      <c r="E1344" s="26" t="s">
        <v>14</v>
      </c>
      <c r="F1344" s="12"/>
      <c r="G1344" s="12"/>
      <c r="H1344" s="33">
        <v>147</v>
      </c>
      <c r="I1344" s="14" t="s">
        <v>15</v>
      </c>
    </row>
    <row r="1345" spans="1:9" ht="31.2">
      <c r="A1345" s="29">
        <v>576616</v>
      </c>
      <c r="B1345" s="8" t="s">
        <v>249</v>
      </c>
      <c r="C1345" s="16" t="s">
        <v>2575</v>
      </c>
      <c r="D1345" s="12"/>
      <c r="E1345" s="26" t="s">
        <v>14</v>
      </c>
      <c r="F1345" s="12"/>
      <c r="G1345" s="12"/>
      <c r="H1345" s="33">
        <v>147</v>
      </c>
      <c r="I1345" s="14" t="s">
        <v>15</v>
      </c>
    </row>
    <row r="1346" spans="1:9" ht="46.8">
      <c r="A1346" s="29">
        <v>577174</v>
      </c>
      <c r="B1346" s="8" t="s">
        <v>249</v>
      </c>
      <c r="C1346" s="16" t="s">
        <v>2576</v>
      </c>
      <c r="D1346" s="12"/>
      <c r="E1346" s="26" t="s">
        <v>14</v>
      </c>
      <c r="F1346" s="12"/>
      <c r="G1346" s="12"/>
      <c r="H1346" s="33">
        <v>21</v>
      </c>
      <c r="I1346" s="14" t="s">
        <v>15</v>
      </c>
    </row>
    <row r="1347" spans="1:9" ht="31.2">
      <c r="A1347" s="29">
        <v>577175</v>
      </c>
      <c r="B1347" s="8" t="s">
        <v>249</v>
      </c>
      <c r="C1347" s="16" t="s">
        <v>2577</v>
      </c>
      <c r="D1347" s="12"/>
      <c r="E1347" s="26" t="s">
        <v>14</v>
      </c>
      <c r="F1347" s="12"/>
      <c r="G1347" s="12"/>
      <c r="H1347" s="33">
        <v>21</v>
      </c>
      <c r="I1347" s="14" t="s">
        <v>15</v>
      </c>
    </row>
    <row r="1348" spans="1:9" ht="46.8">
      <c r="A1348" s="29">
        <v>578685</v>
      </c>
      <c r="B1348" s="8" t="s">
        <v>249</v>
      </c>
      <c r="C1348" s="35" t="s">
        <v>2578</v>
      </c>
      <c r="D1348" s="12"/>
      <c r="E1348" s="26" t="s">
        <v>14</v>
      </c>
      <c r="F1348" s="12"/>
      <c r="G1348" s="12"/>
      <c r="H1348" s="33">
        <v>21</v>
      </c>
      <c r="I1348" s="23" t="s">
        <v>18</v>
      </c>
    </row>
    <row r="1349" spans="1:9" ht="31.2">
      <c r="A1349" s="29">
        <v>578688</v>
      </c>
      <c r="B1349" s="8" t="s">
        <v>249</v>
      </c>
      <c r="C1349" s="16" t="s">
        <v>2579</v>
      </c>
      <c r="D1349" s="12"/>
      <c r="E1349" s="26" t="s">
        <v>14</v>
      </c>
      <c r="F1349" s="12"/>
      <c r="G1349" s="12"/>
      <c r="H1349" s="33">
        <v>221</v>
      </c>
      <c r="I1349" s="14" t="s">
        <v>15</v>
      </c>
    </row>
    <row r="1350" spans="1:9" ht="46.8">
      <c r="A1350" s="8">
        <v>579460</v>
      </c>
      <c r="B1350" s="8" t="s">
        <v>249</v>
      </c>
      <c r="C1350" s="37" t="s">
        <v>2580</v>
      </c>
      <c r="D1350" s="12"/>
      <c r="E1350" s="12"/>
      <c r="F1350" s="12"/>
      <c r="G1350" s="78" t="s">
        <v>2505</v>
      </c>
      <c r="H1350" s="8">
        <v>21</v>
      </c>
      <c r="I1350" s="14" t="s">
        <v>15</v>
      </c>
    </row>
    <row r="1351" spans="1:9" ht="46.8">
      <c r="A1351" s="8">
        <v>579881</v>
      </c>
      <c r="B1351" s="8" t="s">
        <v>249</v>
      </c>
      <c r="C1351" s="37" t="s">
        <v>2581</v>
      </c>
      <c r="D1351" s="12"/>
      <c r="E1351" s="12"/>
      <c r="F1351" s="12"/>
      <c r="G1351" s="78" t="s">
        <v>2505</v>
      </c>
      <c r="H1351" s="8">
        <v>21</v>
      </c>
      <c r="I1351" s="14" t="s">
        <v>15</v>
      </c>
    </row>
    <row r="1352" spans="1:9" ht="46.8">
      <c r="A1352" s="8">
        <v>580044</v>
      </c>
      <c r="B1352" s="8" t="s">
        <v>249</v>
      </c>
      <c r="C1352" s="37" t="s">
        <v>2582</v>
      </c>
      <c r="D1352" s="12"/>
      <c r="E1352" s="12"/>
      <c r="F1352" s="12"/>
      <c r="G1352" s="78" t="s">
        <v>2505</v>
      </c>
      <c r="H1352" s="8">
        <v>21</v>
      </c>
      <c r="I1352" s="14" t="s">
        <v>15</v>
      </c>
    </row>
    <row r="1353" spans="1:9" ht="46.8">
      <c r="A1353" s="8">
        <v>580645</v>
      </c>
      <c r="B1353" s="8" t="s">
        <v>249</v>
      </c>
      <c r="C1353" s="37" t="s">
        <v>2583</v>
      </c>
      <c r="D1353" s="12"/>
      <c r="E1353" s="12"/>
      <c r="F1353" s="12"/>
      <c r="G1353" s="78" t="s">
        <v>2505</v>
      </c>
      <c r="H1353" s="8">
        <v>21</v>
      </c>
      <c r="I1353" s="14" t="s">
        <v>15</v>
      </c>
    </row>
    <row r="1354" spans="1:9" ht="46.8">
      <c r="A1354" s="8">
        <v>580656</v>
      </c>
      <c r="B1354" s="8" t="s">
        <v>249</v>
      </c>
      <c r="C1354" s="37" t="s">
        <v>2584</v>
      </c>
      <c r="D1354" s="12"/>
      <c r="E1354" s="12"/>
      <c r="F1354" s="12"/>
      <c r="G1354" s="78" t="s">
        <v>2505</v>
      </c>
      <c r="H1354" s="8">
        <v>21</v>
      </c>
      <c r="I1354" s="14" t="s">
        <v>15</v>
      </c>
    </row>
    <row r="1355" spans="1:9" ht="31.2">
      <c r="A1355" s="81">
        <v>581149</v>
      </c>
      <c r="B1355" s="8" t="s">
        <v>249</v>
      </c>
      <c r="C1355" s="16" t="s">
        <v>2585</v>
      </c>
      <c r="D1355" s="12"/>
      <c r="E1355" s="26" t="s">
        <v>14</v>
      </c>
      <c r="F1355" s="12"/>
      <c r="G1355" s="12"/>
      <c r="H1355" s="33">
        <v>65</v>
      </c>
      <c r="I1355" s="14" t="s">
        <v>15</v>
      </c>
    </row>
    <row r="1356" spans="1:9" ht="46.8">
      <c r="A1356" s="29">
        <v>581188</v>
      </c>
      <c r="B1356" s="8" t="s">
        <v>249</v>
      </c>
      <c r="C1356" s="16" t="s">
        <v>2586</v>
      </c>
      <c r="D1356" s="12"/>
      <c r="E1356" s="26" t="s">
        <v>14</v>
      </c>
      <c r="F1356" s="12"/>
      <c r="G1356" s="12"/>
      <c r="H1356" s="33">
        <v>21</v>
      </c>
      <c r="I1356" s="14" t="s">
        <v>15</v>
      </c>
    </row>
    <row r="1357" spans="1:9" ht="46.8">
      <c r="A1357" s="29">
        <v>581191</v>
      </c>
      <c r="B1357" s="8" t="s">
        <v>249</v>
      </c>
      <c r="C1357" s="16" t="s">
        <v>2587</v>
      </c>
      <c r="D1357" s="12"/>
      <c r="E1357" s="26" t="s">
        <v>14</v>
      </c>
      <c r="F1357" s="12"/>
      <c r="G1357" s="12"/>
      <c r="H1357" s="33">
        <v>21</v>
      </c>
      <c r="I1357" s="14" t="s">
        <v>15</v>
      </c>
    </row>
    <row r="1358" spans="1:9" ht="46.8">
      <c r="A1358" s="29">
        <v>581192</v>
      </c>
      <c r="B1358" s="8" t="s">
        <v>249</v>
      </c>
      <c r="C1358" s="16" t="s">
        <v>2588</v>
      </c>
      <c r="D1358" s="12"/>
      <c r="E1358" s="26" t="s">
        <v>14</v>
      </c>
      <c r="F1358" s="12"/>
      <c r="G1358" s="12"/>
      <c r="H1358" s="33">
        <v>21</v>
      </c>
      <c r="I1358" s="14" t="s">
        <v>15</v>
      </c>
    </row>
    <row r="1359" spans="1:9" ht="93.6">
      <c r="A1359" s="8">
        <v>581208</v>
      </c>
      <c r="B1359" s="8" t="s">
        <v>249</v>
      </c>
      <c r="C1359" s="54" t="str">
        <f>HYPERLINK("https://catalog.archives.gov/search?q=*:*&amp;f.ancestorNaIds=581208&amp;sort=naIdSort%20asc&amp;f.oldScope=online","Logbooks of U.S. Navy Ships")</f>
        <v>Logbooks of U.S. Navy Ships</v>
      </c>
      <c r="D1359" s="12"/>
      <c r="E1359" s="12"/>
      <c r="F1359" s="12"/>
      <c r="G1359" s="60" t="str">
        <f>HYPERLINK("https://www.pmel.noaa.gov/rediscover/us-navy-logbooks","National Oceanic and Atmospheric Administration (NOAA)")</f>
        <v>National Oceanic and Atmospheric Administration (NOAA)</v>
      </c>
      <c r="H1359" s="8">
        <v>24</v>
      </c>
      <c r="I1359" s="15" t="s">
        <v>18</v>
      </c>
    </row>
    <row r="1360" spans="1:9" ht="31.2">
      <c r="A1360" s="29">
        <v>583580</v>
      </c>
      <c r="B1360" s="8" t="s">
        <v>249</v>
      </c>
      <c r="C1360" s="16" t="s">
        <v>2589</v>
      </c>
      <c r="D1360" s="32" t="s">
        <v>220</v>
      </c>
      <c r="E1360" s="12"/>
      <c r="F1360" s="12"/>
      <c r="G1360" s="12"/>
      <c r="H1360" s="33">
        <v>407</v>
      </c>
      <c r="I1360" s="14" t="s">
        <v>15</v>
      </c>
    </row>
    <row r="1361" spans="1:9" ht="46.8">
      <c r="A1361" s="8">
        <v>583819</v>
      </c>
      <c r="B1361" s="8" t="s">
        <v>249</v>
      </c>
      <c r="C1361" s="37" t="s">
        <v>2590</v>
      </c>
      <c r="D1361" s="12"/>
      <c r="E1361" s="12"/>
      <c r="F1361" s="12"/>
      <c r="G1361" s="78" t="s">
        <v>2505</v>
      </c>
      <c r="H1361" s="8">
        <v>21</v>
      </c>
      <c r="I1361" s="14" t="s">
        <v>15</v>
      </c>
    </row>
    <row r="1362" spans="1:9" ht="46.8">
      <c r="A1362" s="81">
        <v>584006</v>
      </c>
      <c r="B1362" s="8" t="s">
        <v>249</v>
      </c>
      <c r="C1362" s="37" t="s">
        <v>2591</v>
      </c>
      <c r="D1362" s="12"/>
      <c r="E1362" s="12"/>
      <c r="F1362" s="32" t="s">
        <v>43</v>
      </c>
      <c r="G1362" s="12"/>
      <c r="H1362" s="33">
        <v>49</v>
      </c>
      <c r="I1362" s="14" t="s">
        <v>15</v>
      </c>
    </row>
    <row r="1363" spans="1:9" ht="46.8">
      <c r="A1363" s="81">
        <v>584041</v>
      </c>
      <c r="B1363" s="8" t="s">
        <v>249</v>
      </c>
      <c r="C1363" s="37" t="s">
        <v>2592</v>
      </c>
      <c r="D1363" s="12"/>
      <c r="E1363" s="12"/>
      <c r="F1363" s="32" t="s">
        <v>43</v>
      </c>
      <c r="G1363" s="12"/>
      <c r="H1363" s="33">
        <v>49</v>
      </c>
      <c r="I1363" s="14" t="s">
        <v>15</v>
      </c>
    </row>
    <row r="1364" spans="1:9" ht="46.8">
      <c r="A1364" s="81">
        <v>584054</v>
      </c>
      <c r="B1364" s="8" t="s">
        <v>249</v>
      </c>
      <c r="C1364" s="37" t="s">
        <v>2593</v>
      </c>
      <c r="D1364" s="12"/>
      <c r="E1364" s="12"/>
      <c r="F1364" s="32" t="s">
        <v>43</v>
      </c>
      <c r="G1364" s="12"/>
      <c r="H1364" s="33">
        <v>49</v>
      </c>
      <c r="I1364" s="14" t="s">
        <v>15</v>
      </c>
    </row>
    <row r="1365" spans="1:9" ht="46.8">
      <c r="A1365" s="81">
        <v>584151</v>
      </c>
      <c r="B1365" s="8" t="s">
        <v>249</v>
      </c>
      <c r="C1365" s="37" t="s">
        <v>2594</v>
      </c>
      <c r="D1365" s="12"/>
      <c r="E1365" s="12"/>
      <c r="F1365" s="32" t="s">
        <v>43</v>
      </c>
      <c r="G1365" s="12"/>
      <c r="H1365" s="33">
        <v>49</v>
      </c>
      <c r="I1365" s="14" t="s">
        <v>15</v>
      </c>
    </row>
    <row r="1366" spans="1:9" ht="46.8">
      <c r="A1366" s="81">
        <v>584158</v>
      </c>
      <c r="B1366" s="8" t="s">
        <v>249</v>
      </c>
      <c r="C1366" s="37" t="s">
        <v>2595</v>
      </c>
      <c r="D1366" s="12"/>
      <c r="E1366" s="12"/>
      <c r="F1366" s="32" t="s">
        <v>43</v>
      </c>
      <c r="G1366" s="12"/>
      <c r="H1366" s="33">
        <v>49</v>
      </c>
      <c r="I1366" s="14" t="s">
        <v>15</v>
      </c>
    </row>
    <row r="1367" spans="1:9" ht="62.4">
      <c r="A1367" s="81">
        <v>584161</v>
      </c>
      <c r="B1367" s="8" t="s">
        <v>249</v>
      </c>
      <c r="C1367" s="37" t="s">
        <v>2596</v>
      </c>
      <c r="D1367" s="12"/>
      <c r="E1367" s="12"/>
      <c r="F1367" s="32" t="s">
        <v>43</v>
      </c>
      <c r="G1367" s="12"/>
      <c r="H1367" s="33">
        <v>49</v>
      </c>
      <c r="I1367" s="14" t="s">
        <v>15</v>
      </c>
    </row>
    <row r="1368" spans="1:9" ht="46.8">
      <c r="A1368" s="81">
        <v>584169</v>
      </c>
      <c r="B1368" s="8" t="s">
        <v>249</v>
      </c>
      <c r="C1368" s="37" t="s">
        <v>2597</v>
      </c>
      <c r="D1368" s="12"/>
      <c r="E1368" s="12"/>
      <c r="F1368" s="32" t="s">
        <v>43</v>
      </c>
      <c r="G1368" s="12"/>
      <c r="H1368" s="33">
        <v>49</v>
      </c>
      <c r="I1368" s="14" t="s">
        <v>15</v>
      </c>
    </row>
    <row r="1369" spans="1:9" ht="46.8">
      <c r="A1369" s="81">
        <v>584170</v>
      </c>
      <c r="B1369" s="8" t="s">
        <v>249</v>
      </c>
      <c r="C1369" s="37" t="s">
        <v>2598</v>
      </c>
      <c r="D1369" s="12"/>
      <c r="E1369" s="12"/>
      <c r="F1369" s="32" t="s">
        <v>43</v>
      </c>
      <c r="G1369" s="12"/>
      <c r="H1369" s="33">
        <v>49</v>
      </c>
      <c r="I1369" s="14" t="s">
        <v>15</v>
      </c>
    </row>
    <row r="1370" spans="1:9" ht="46.8">
      <c r="A1370" s="29">
        <v>584658</v>
      </c>
      <c r="B1370" s="8" t="s">
        <v>249</v>
      </c>
      <c r="C1370" s="16" t="s">
        <v>2599</v>
      </c>
      <c r="D1370" s="12"/>
      <c r="E1370" s="26" t="s">
        <v>14</v>
      </c>
      <c r="F1370" s="12"/>
      <c r="G1370" s="12"/>
      <c r="H1370" s="33">
        <v>21</v>
      </c>
      <c r="I1370" s="14" t="s">
        <v>15</v>
      </c>
    </row>
    <row r="1371" spans="1:9" ht="31.2">
      <c r="A1371" s="29">
        <v>584660</v>
      </c>
      <c r="B1371" s="8" t="s">
        <v>249</v>
      </c>
      <c r="C1371" s="16" t="s">
        <v>2600</v>
      </c>
      <c r="D1371" s="12"/>
      <c r="E1371" s="26" t="s">
        <v>14</v>
      </c>
      <c r="F1371" s="12"/>
      <c r="G1371" s="12"/>
      <c r="H1371" s="33">
        <v>21</v>
      </c>
      <c r="I1371" s="14" t="s">
        <v>15</v>
      </c>
    </row>
    <row r="1372" spans="1:9" ht="46.8">
      <c r="A1372" s="82">
        <v>584662</v>
      </c>
      <c r="B1372" s="8" t="s">
        <v>249</v>
      </c>
      <c r="C1372" s="16" t="s">
        <v>2601</v>
      </c>
      <c r="D1372" s="12"/>
      <c r="E1372" s="26" t="s">
        <v>14</v>
      </c>
      <c r="F1372" s="12"/>
      <c r="G1372" s="12"/>
      <c r="H1372" s="33">
        <v>21</v>
      </c>
      <c r="I1372" s="14" t="s">
        <v>15</v>
      </c>
    </row>
    <row r="1373" spans="1:9" ht="31.2">
      <c r="A1373" s="29">
        <v>584664</v>
      </c>
      <c r="B1373" s="8" t="s">
        <v>249</v>
      </c>
      <c r="C1373" s="16" t="s">
        <v>2602</v>
      </c>
      <c r="D1373" s="12"/>
      <c r="E1373" s="26" t="s">
        <v>14</v>
      </c>
      <c r="F1373" s="12"/>
      <c r="G1373" s="12"/>
      <c r="H1373" s="33">
        <v>21</v>
      </c>
      <c r="I1373" s="14" t="s">
        <v>15</v>
      </c>
    </row>
    <row r="1374" spans="1:9" ht="46.8">
      <c r="A1374" s="29">
        <v>584737</v>
      </c>
      <c r="B1374" s="8" t="s">
        <v>249</v>
      </c>
      <c r="C1374" s="16" t="s">
        <v>2603</v>
      </c>
      <c r="D1374" s="12"/>
      <c r="E1374" s="26" t="s">
        <v>14</v>
      </c>
      <c r="F1374" s="12"/>
      <c r="G1374" s="12"/>
      <c r="H1374" s="33">
        <v>21</v>
      </c>
      <c r="I1374" s="14" t="s">
        <v>15</v>
      </c>
    </row>
    <row r="1375" spans="1:9" ht="46.8">
      <c r="A1375" s="29">
        <v>584751</v>
      </c>
      <c r="B1375" s="8" t="s">
        <v>249</v>
      </c>
      <c r="C1375" s="16" t="s">
        <v>2604</v>
      </c>
      <c r="D1375" s="12"/>
      <c r="E1375" s="26" t="s">
        <v>14</v>
      </c>
      <c r="F1375" s="12"/>
      <c r="G1375" s="12"/>
      <c r="H1375" s="33">
        <v>21</v>
      </c>
      <c r="I1375" s="14" t="s">
        <v>15</v>
      </c>
    </row>
    <row r="1376" spans="1:9" ht="46.8">
      <c r="A1376" s="29">
        <v>584766</v>
      </c>
      <c r="B1376" s="8" t="s">
        <v>249</v>
      </c>
      <c r="C1376" s="16" t="s">
        <v>2605</v>
      </c>
      <c r="D1376" s="12"/>
      <c r="E1376" s="26" t="s">
        <v>14</v>
      </c>
      <c r="F1376" s="12"/>
      <c r="G1376" s="12"/>
      <c r="H1376" s="33">
        <v>21</v>
      </c>
      <c r="I1376" s="14" t="s">
        <v>15</v>
      </c>
    </row>
    <row r="1377" spans="1:9" ht="46.8">
      <c r="A1377" s="29">
        <v>584767</v>
      </c>
      <c r="B1377" s="8" t="s">
        <v>249</v>
      </c>
      <c r="C1377" s="16" t="s">
        <v>2606</v>
      </c>
      <c r="D1377" s="12"/>
      <c r="E1377" s="26" t="s">
        <v>14</v>
      </c>
      <c r="F1377" s="12"/>
      <c r="G1377" s="12"/>
      <c r="H1377" s="33">
        <v>21</v>
      </c>
      <c r="I1377" s="14" t="s">
        <v>15</v>
      </c>
    </row>
    <row r="1378" spans="1:9" ht="31.2">
      <c r="A1378" s="8">
        <v>584986</v>
      </c>
      <c r="B1378" s="8" t="s">
        <v>249</v>
      </c>
      <c r="C1378" s="37" t="s">
        <v>2607</v>
      </c>
      <c r="D1378" s="12"/>
      <c r="E1378" s="12"/>
      <c r="F1378" s="12"/>
      <c r="G1378" s="78" t="s">
        <v>2505</v>
      </c>
      <c r="H1378" s="8">
        <v>21</v>
      </c>
      <c r="I1378" s="14" t="s">
        <v>15</v>
      </c>
    </row>
    <row r="1379" spans="1:9" ht="46.8">
      <c r="A1379" s="8">
        <v>585004</v>
      </c>
      <c r="B1379" s="8" t="s">
        <v>249</v>
      </c>
      <c r="C1379" s="37" t="s">
        <v>2608</v>
      </c>
      <c r="D1379" s="12"/>
      <c r="E1379" s="12"/>
      <c r="F1379" s="12"/>
      <c r="G1379" s="78" t="s">
        <v>2505</v>
      </c>
      <c r="H1379" s="8">
        <v>21</v>
      </c>
      <c r="I1379" s="14" t="s">
        <v>15</v>
      </c>
    </row>
    <row r="1380" spans="1:9" ht="46.8">
      <c r="A1380" s="29">
        <v>585133</v>
      </c>
      <c r="B1380" s="8" t="s">
        <v>249</v>
      </c>
      <c r="C1380" s="16" t="s">
        <v>2609</v>
      </c>
      <c r="D1380" s="12"/>
      <c r="E1380" s="26" t="s">
        <v>14</v>
      </c>
      <c r="F1380" s="12"/>
      <c r="G1380" s="12"/>
      <c r="H1380" s="33">
        <v>21</v>
      </c>
      <c r="I1380" s="14" t="s">
        <v>15</v>
      </c>
    </row>
    <row r="1381" spans="1:9" ht="46.8">
      <c r="A1381" s="29">
        <v>585145</v>
      </c>
      <c r="B1381" s="8" t="s">
        <v>249</v>
      </c>
      <c r="C1381" s="16" t="s">
        <v>2610</v>
      </c>
      <c r="D1381" s="12"/>
      <c r="E1381" s="26" t="s">
        <v>14</v>
      </c>
      <c r="F1381" s="12"/>
      <c r="G1381" s="12"/>
      <c r="H1381" s="33">
        <v>21</v>
      </c>
      <c r="I1381" s="14" t="s">
        <v>15</v>
      </c>
    </row>
    <row r="1382" spans="1:9" ht="46.8">
      <c r="A1382" s="8">
        <v>586013</v>
      </c>
      <c r="B1382" s="8" t="s">
        <v>249</v>
      </c>
      <c r="C1382" s="37" t="s">
        <v>2611</v>
      </c>
      <c r="D1382" s="12"/>
      <c r="E1382" s="12"/>
      <c r="F1382" s="26" t="s">
        <v>43</v>
      </c>
      <c r="G1382" s="12"/>
      <c r="H1382" s="8">
        <v>21</v>
      </c>
      <c r="I1382" s="7" t="s">
        <v>15</v>
      </c>
    </row>
    <row r="1383" spans="1:9" ht="46.8">
      <c r="A1383" s="8">
        <v>586102</v>
      </c>
      <c r="B1383" s="8" t="s">
        <v>249</v>
      </c>
      <c r="C1383" s="37" t="s">
        <v>2612</v>
      </c>
      <c r="D1383" s="12"/>
      <c r="E1383" s="12"/>
      <c r="F1383" s="31" t="str">
        <f>HYPERLINK("https://www.familysearch.org/search/catalog/3328317","FamilySearch.org")</f>
        <v>FamilySearch.org</v>
      </c>
      <c r="G1383" s="12"/>
      <c r="H1383" s="8">
        <v>21</v>
      </c>
      <c r="I1383" s="7" t="s">
        <v>15</v>
      </c>
    </row>
    <row r="1384" spans="1:9" ht="93.6">
      <c r="A1384" s="8">
        <v>587169</v>
      </c>
      <c r="B1384" s="8" t="s">
        <v>249</v>
      </c>
      <c r="C1384" s="54" t="str">
        <f>HYPERLINK("https://catalog.archives.gov/search?q=*:*&amp;f.ancestorNaIds=587169&amp;sort=naIdSort%20asc&amp;f.oldScope=online","Logbooks of US Revenue Cutters and US Coast Guard Vessels")</f>
        <v>Logbooks of US Revenue Cutters and US Coast Guard Vessels</v>
      </c>
      <c r="D1384" s="12"/>
      <c r="E1384" s="12"/>
      <c r="F1384" s="12"/>
      <c r="G1384" s="60" t="str">
        <f>HYPERLINK("https://www.pmel.noaa.gov/rediscover/us-coast-guard-revenue-cutter-logbooks","National Oceanic and Atmospheric Administration (NOAA)")</f>
        <v>National Oceanic and Atmospheric Administration (NOAA)</v>
      </c>
      <c r="H1384" s="8">
        <v>26</v>
      </c>
      <c r="I1384" s="7" t="s">
        <v>11</v>
      </c>
    </row>
    <row r="1385" spans="1:9" ht="46.8">
      <c r="A1385" s="29">
        <v>592776</v>
      </c>
      <c r="B1385" s="8" t="s">
        <v>249</v>
      </c>
      <c r="C1385" s="16" t="s">
        <v>2613</v>
      </c>
      <c r="D1385" s="12"/>
      <c r="E1385" s="26" t="s">
        <v>14</v>
      </c>
      <c r="F1385" s="12"/>
      <c r="G1385" s="12"/>
      <c r="H1385" s="33">
        <v>21</v>
      </c>
      <c r="I1385" s="14" t="s">
        <v>15</v>
      </c>
    </row>
    <row r="1386" spans="1:9" ht="31.2">
      <c r="A1386" s="29">
        <v>592779</v>
      </c>
      <c r="B1386" s="8" t="s">
        <v>249</v>
      </c>
      <c r="C1386" s="35" t="s">
        <v>2614</v>
      </c>
      <c r="D1386" s="12"/>
      <c r="E1386" s="32" t="str">
        <f>HYPERLINK("https://search.ancestryinstitution.com/search/db.aspx?dbid=2531","Ancestry.com")</f>
        <v>Ancestry.com</v>
      </c>
      <c r="F1386" s="12"/>
      <c r="G1386" s="12"/>
      <c r="H1386" s="33">
        <v>21</v>
      </c>
      <c r="I1386" s="14" t="s">
        <v>18</v>
      </c>
    </row>
    <row r="1387" spans="1:9" ht="31.2">
      <c r="A1387" s="8">
        <v>593308</v>
      </c>
      <c r="B1387" s="8" t="s">
        <v>249</v>
      </c>
      <c r="C1387" s="80" t="s">
        <v>2615</v>
      </c>
      <c r="D1387" s="12"/>
      <c r="E1387" s="12"/>
      <c r="F1387" s="31" t="str">
        <f>HYPERLINK("https://www.familysearch.org/search/catalog/2827674","FamilySearch.org")</f>
        <v>FamilySearch.org</v>
      </c>
      <c r="G1387" s="12"/>
      <c r="H1387" s="8">
        <v>21</v>
      </c>
      <c r="I1387" s="7" t="s">
        <v>15</v>
      </c>
    </row>
    <row r="1388" spans="1:9" ht="46.8">
      <c r="A1388" s="29">
        <v>593882</v>
      </c>
      <c r="B1388" s="8" t="s">
        <v>249</v>
      </c>
      <c r="C1388" s="16" t="s">
        <v>2616</v>
      </c>
      <c r="D1388" s="12"/>
      <c r="E1388" s="12"/>
      <c r="F1388" s="32" t="s">
        <v>43</v>
      </c>
      <c r="G1388" s="12"/>
      <c r="H1388" s="33">
        <v>21</v>
      </c>
      <c r="I1388" s="14" t="s">
        <v>15</v>
      </c>
    </row>
    <row r="1389" spans="1:9" ht="31.2">
      <c r="A1389" s="29">
        <v>594890</v>
      </c>
      <c r="B1389" s="8" t="s">
        <v>249</v>
      </c>
      <c r="C1389" s="34" t="s">
        <v>2617</v>
      </c>
      <c r="D1389" s="12"/>
      <c r="E1389" s="26" t="s">
        <v>14</v>
      </c>
      <c r="F1389" s="12"/>
      <c r="G1389" s="12"/>
      <c r="H1389" s="33">
        <v>21</v>
      </c>
      <c r="I1389" s="14" t="s">
        <v>18</v>
      </c>
    </row>
    <row r="1390" spans="1:9" ht="46.8">
      <c r="A1390" s="29">
        <v>596118</v>
      </c>
      <c r="B1390" s="8" t="s">
        <v>249</v>
      </c>
      <c r="C1390" s="35" t="s">
        <v>2618</v>
      </c>
      <c r="D1390" s="11" t="s">
        <v>220</v>
      </c>
      <c r="E1390" s="26" t="s">
        <v>14</v>
      </c>
      <c r="F1390" s="12"/>
      <c r="G1390" s="12"/>
      <c r="H1390" s="33">
        <v>92</v>
      </c>
      <c r="I1390" s="23" t="s">
        <v>11</v>
      </c>
    </row>
    <row r="1391" spans="1:9" ht="31.2">
      <c r="A1391" s="81">
        <v>597863</v>
      </c>
      <c r="B1391" s="8" t="s">
        <v>249</v>
      </c>
      <c r="C1391" s="16" t="s">
        <v>2619</v>
      </c>
      <c r="D1391" s="12"/>
      <c r="E1391" s="26" t="s">
        <v>14</v>
      </c>
      <c r="F1391" s="12"/>
      <c r="G1391" s="12"/>
      <c r="H1391" s="33">
        <v>65</v>
      </c>
      <c r="I1391" s="14" t="s">
        <v>15</v>
      </c>
    </row>
    <row r="1392" spans="1:9" ht="31.2">
      <c r="A1392" s="81">
        <v>597891</v>
      </c>
      <c r="B1392" s="8" t="s">
        <v>249</v>
      </c>
      <c r="C1392" s="16" t="s">
        <v>2620</v>
      </c>
      <c r="D1392" s="12"/>
      <c r="E1392" s="26" t="s">
        <v>14</v>
      </c>
      <c r="F1392" s="12"/>
      <c r="G1392" s="12"/>
      <c r="H1392" s="33">
        <v>65</v>
      </c>
      <c r="I1392" s="14" t="s">
        <v>15</v>
      </c>
    </row>
    <row r="1393" spans="1:9" ht="31.2">
      <c r="A1393" s="81">
        <v>597893</v>
      </c>
      <c r="B1393" s="8" t="s">
        <v>249</v>
      </c>
      <c r="C1393" s="16" t="s">
        <v>2621</v>
      </c>
      <c r="D1393" s="12"/>
      <c r="E1393" s="26" t="s">
        <v>14</v>
      </c>
      <c r="F1393" s="12"/>
      <c r="G1393" s="12"/>
      <c r="H1393" s="33">
        <v>65</v>
      </c>
      <c r="I1393" s="14" t="s">
        <v>15</v>
      </c>
    </row>
    <row r="1394" spans="1:9" ht="31.2">
      <c r="A1394" s="81">
        <v>597894</v>
      </c>
      <c r="B1394" s="8" t="s">
        <v>249</v>
      </c>
      <c r="C1394" s="16" t="s">
        <v>2622</v>
      </c>
      <c r="D1394" s="12"/>
      <c r="E1394" s="26" t="s">
        <v>14</v>
      </c>
      <c r="F1394" s="12"/>
      <c r="G1394" s="12"/>
      <c r="H1394" s="33">
        <v>65</v>
      </c>
      <c r="I1394" s="14" t="s">
        <v>15</v>
      </c>
    </row>
    <row r="1395" spans="1:9" ht="31.2">
      <c r="A1395" s="29">
        <v>598884</v>
      </c>
      <c r="B1395" s="8" t="s">
        <v>249</v>
      </c>
      <c r="C1395" s="34" t="s">
        <v>2623</v>
      </c>
      <c r="D1395" s="32" t="str">
        <f t="shared" ref="D1395:D1401" si="41">HYPERLINK("https://www.fold3.com/title/765/wwii-old-mans-draft-registration-cards","Fold3.com")</f>
        <v>Fold3.com</v>
      </c>
      <c r="E1395" s="26" t="s">
        <v>14</v>
      </c>
      <c r="F1395" s="12"/>
      <c r="G1395" s="12"/>
      <c r="H1395" s="33">
        <v>147</v>
      </c>
      <c r="I1395" s="14" t="s">
        <v>11</v>
      </c>
    </row>
    <row r="1396" spans="1:9" ht="31.2">
      <c r="A1396" s="29">
        <v>598909</v>
      </c>
      <c r="B1396" s="8" t="s">
        <v>249</v>
      </c>
      <c r="C1396" s="16" t="s">
        <v>2624</v>
      </c>
      <c r="D1396" s="32" t="str">
        <f t="shared" si="41"/>
        <v>Fold3.com</v>
      </c>
      <c r="E1396" s="26" t="s">
        <v>14</v>
      </c>
      <c r="F1396" s="12"/>
      <c r="G1396" s="12"/>
      <c r="H1396" s="33">
        <v>147</v>
      </c>
      <c r="I1396" s="14" t="s">
        <v>15</v>
      </c>
    </row>
    <row r="1397" spans="1:9" ht="31.2">
      <c r="A1397" s="29">
        <v>598910</v>
      </c>
      <c r="B1397" s="8" t="s">
        <v>249</v>
      </c>
      <c r="C1397" s="16" t="s">
        <v>2625</v>
      </c>
      <c r="D1397" s="32" t="str">
        <f t="shared" si="41"/>
        <v>Fold3.com</v>
      </c>
      <c r="E1397" s="26" t="s">
        <v>14</v>
      </c>
      <c r="F1397" s="12"/>
      <c r="G1397" s="12"/>
      <c r="H1397" s="33">
        <v>147</v>
      </c>
      <c r="I1397" s="14" t="s">
        <v>15</v>
      </c>
    </row>
    <row r="1398" spans="1:9" ht="31.2">
      <c r="A1398" s="29">
        <v>598911</v>
      </c>
      <c r="B1398" s="8" t="s">
        <v>249</v>
      </c>
      <c r="C1398" s="16" t="s">
        <v>2626</v>
      </c>
      <c r="D1398" s="32" t="str">
        <f t="shared" si="41"/>
        <v>Fold3.com</v>
      </c>
      <c r="E1398" s="26" t="s">
        <v>14</v>
      </c>
      <c r="F1398" s="12"/>
      <c r="G1398" s="12"/>
      <c r="H1398" s="33">
        <v>147</v>
      </c>
      <c r="I1398" s="14" t="s">
        <v>15</v>
      </c>
    </row>
    <row r="1399" spans="1:9" ht="46.8">
      <c r="A1399" s="29">
        <v>598912</v>
      </c>
      <c r="B1399" s="8" t="s">
        <v>249</v>
      </c>
      <c r="C1399" s="34" t="s">
        <v>2627</v>
      </c>
      <c r="D1399" s="32" t="str">
        <f t="shared" si="41"/>
        <v>Fold3.com</v>
      </c>
      <c r="E1399" s="26" t="s">
        <v>14</v>
      </c>
      <c r="F1399" s="12"/>
      <c r="G1399" s="12"/>
      <c r="H1399" s="33">
        <v>147</v>
      </c>
      <c r="I1399" s="14" t="s">
        <v>2628</v>
      </c>
    </row>
    <row r="1400" spans="1:9" ht="31.2">
      <c r="A1400" s="29">
        <v>599221</v>
      </c>
      <c r="B1400" s="8" t="s">
        <v>249</v>
      </c>
      <c r="C1400" s="34" t="s">
        <v>2629</v>
      </c>
      <c r="D1400" s="32" t="str">
        <f t="shared" si="41"/>
        <v>Fold3.com</v>
      </c>
      <c r="E1400" s="26" t="s">
        <v>14</v>
      </c>
      <c r="F1400" s="12"/>
      <c r="G1400" s="12"/>
      <c r="H1400" s="33">
        <v>147</v>
      </c>
      <c r="I1400" s="14" t="s">
        <v>11</v>
      </c>
    </row>
    <row r="1401" spans="1:9" ht="31.2">
      <c r="A1401" s="29">
        <v>599223</v>
      </c>
      <c r="B1401" s="8" t="s">
        <v>249</v>
      </c>
      <c r="C1401" s="16" t="s">
        <v>2630</v>
      </c>
      <c r="D1401" s="32" t="str">
        <f t="shared" si="41"/>
        <v>Fold3.com</v>
      </c>
      <c r="E1401" s="26" t="s">
        <v>14</v>
      </c>
      <c r="F1401" s="12"/>
      <c r="G1401" s="12"/>
      <c r="H1401" s="33">
        <v>147</v>
      </c>
      <c r="I1401" s="14" t="s">
        <v>15</v>
      </c>
    </row>
    <row r="1402" spans="1:9" ht="31.2">
      <c r="A1402" s="8">
        <v>599364</v>
      </c>
      <c r="B1402" s="8" t="s">
        <v>249</v>
      </c>
      <c r="C1402" s="37" t="s">
        <v>2631</v>
      </c>
      <c r="D1402" s="12"/>
      <c r="E1402" s="12"/>
      <c r="F1402" s="31" t="str">
        <f t="shared" ref="F1402:F1403" si="42">HYPERLINK("https://www.familysearch.org/search/catalog/2785365","FamilySearch.org")</f>
        <v>FamilySearch.org</v>
      </c>
      <c r="G1402" s="12"/>
      <c r="H1402" s="8">
        <v>21</v>
      </c>
      <c r="I1402" s="7" t="s">
        <v>15</v>
      </c>
    </row>
    <row r="1403" spans="1:9" ht="46.8">
      <c r="A1403" s="8">
        <v>600114</v>
      </c>
      <c r="B1403" s="8" t="s">
        <v>249</v>
      </c>
      <c r="C1403" s="37" t="s">
        <v>2632</v>
      </c>
      <c r="D1403" s="12"/>
      <c r="E1403" s="12"/>
      <c r="F1403" s="31" t="str">
        <f t="shared" si="42"/>
        <v>FamilySearch.org</v>
      </c>
      <c r="G1403" s="12"/>
      <c r="H1403" s="8">
        <v>21</v>
      </c>
      <c r="I1403" s="7" t="s">
        <v>15</v>
      </c>
    </row>
    <row r="1404" spans="1:9" ht="46.8">
      <c r="A1404" s="29">
        <v>602276</v>
      </c>
      <c r="B1404" s="8" t="s">
        <v>249</v>
      </c>
      <c r="C1404" s="34" t="s">
        <v>2633</v>
      </c>
      <c r="D1404" s="12"/>
      <c r="E1404" s="26" t="s">
        <v>14</v>
      </c>
      <c r="F1404" s="12"/>
      <c r="G1404" s="12"/>
      <c r="H1404" s="33">
        <v>21</v>
      </c>
      <c r="I1404" s="14" t="s">
        <v>18</v>
      </c>
    </row>
    <row r="1405" spans="1:9" ht="31.2">
      <c r="A1405" s="29">
        <v>602277</v>
      </c>
      <c r="B1405" s="8" t="s">
        <v>249</v>
      </c>
      <c r="C1405" s="34" t="s">
        <v>2634</v>
      </c>
      <c r="D1405" s="12"/>
      <c r="E1405" s="26" t="s">
        <v>14</v>
      </c>
      <c r="F1405" s="12"/>
      <c r="G1405" s="12"/>
      <c r="H1405" s="33">
        <v>21</v>
      </c>
      <c r="I1405" s="14" t="s">
        <v>18</v>
      </c>
    </row>
    <row r="1406" spans="1:9" ht="31.2">
      <c r="A1406" s="29">
        <v>602278</v>
      </c>
      <c r="B1406" s="8" t="s">
        <v>249</v>
      </c>
      <c r="C1406" s="34" t="s">
        <v>2635</v>
      </c>
      <c r="D1406" s="12"/>
      <c r="E1406" s="26" t="s">
        <v>14</v>
      </c>
      <c r="F1406" s="12"/>
      <c r="G1406" s="12"/>
      <c r="H1406" s="33">
        <v>21</v>
      </c>
      <c r="I1406" s="14" t="s">
        <v>11</v>
      </c>
    </row>
    <row r="1407" spans="1:9" ht="46.8">
      <c r="A1407" s="29">
        <v>602279</v>
      </c>
      <c r="B1407" s="8" t="s">
        <v>249</v>
      </c>
      <c r="C1407" s="16" t="s">
        <v>2636</v>
      </c>
      <c r="D1407" s="12"/>
      <c r="E1407" s="26" t="s">
        <v>14</v>
      </c>
      <c r="F1407" s="12"/>
      <c r="G1407" s="12"/>
      <c r="H1407" s="33">
        <v>21</v>
      </c>
      <c r="I1407" s="14" t="s">
        <v>15</v>
      </c>
    </row>
    <row r="1408" spans="1:9" ht="31.2">
      <c r="A1408" s="29">
        <v>602578</v>
      </c>
      <c r="B1408" s="8" t="s">
        <v>249</v>
      </c>
      <c r="C1408" s="16" t="s">
        <v>2637</v>
      </c>
      <c r="D1408" s="12"/>
      <c r="E1408" s="26" t="s">
        <v>14</v>
      </c>
      <c r="F1408" s="12"/>
      <c r="G1408" s="12"/>
      <c r="H1408" s="33">
        <v>21</v>
      </c>
      <c r="I1408" s="14" t="s">
        <v>15</v>
      </c>
    </row>
    <row r="1409" spans="1:9" ht="31.2">
      <c r="A1409" s="29">
        <v>603155</v>
      </c>
      <c r="B1409" s="8" t="s">
        <v>249</v>
      </c>
      <c r="C1409" s="16" t="s">
        <v>2638</v>
      </c>
      <c r="D1409" s="32" t="str">
        <f>HYPERLINK("https://www.fold3.com/title/765/wwii-old-mans-draft-registration-cards","Fold3.com")</f>
        <v>Fold3.com</v>
      </c>
      <c r="E1409" s="26" t="s">
        <v>14</v>
      </c>
      <c r="F1409" s="12"/>
      <c r="G1409" s="12"/>
      <c r="H1409" s="33">
        <v>147</v>
      </c>
      <c r="I1409" s="14" t="s">
        <v>15</v>
      </c>
    </row>
    <row r="1410" spans="1:9" ht="46.8">
      <c r="A1410" s="8">
        <v>603760</v>
      </c>
      <c r="B1410" s="8" t="s">
        <v>249</v>
      </c>
      <c r="C1410" s="37" t="s">
        <v>2639</v>
      </c>
      <c r="D1410" s="12"/>
      <c r="E1410" s="31" t="str">
        <f t="shared" ref="E1410:E1411" si="43">HYPERLINK("https://search.ancestryinstitution.com/search/db.aspx?dbid=3998","Ancestry.com")</f>
        <v>Ancestry.com</v>
      </c>
      <c r="F1410" s="12"/>
      <c r="G1410" s="12"/>
      <c r="H1410" s="8">
        <v>21</v>
      </c>
      <c r="I1410" s="14" t="s">
        <v>15</v>
      </c>
    </row>
    <row r="1411" spans="1:9" ht="31.2">
      <c r="A1411" s="8">
        <v>603784</v>
      </c>
      <c r="B1411" s="8" t="s">
        <v>249</v>
      </c>
      <c r="C1411" s="37" t="s">
        <v>2640</v>
      </c>
      <c r="D1411" s="12"/>
      <c r="E1411" s="31" t="str">
        <f t="shared" si="43"/>
        <v>Ancestry.com</v>
      </c>
      <c r="F1411" s="12"/>
      <c r="G1411" s="12"/>
      <c r="H1411" s="8">
        <v>21</v>
      </c>
      <c r="I1411" s="7" t="s">
        <v>15</v>
      </c>
    </row>
    <row r="1412" spans="1:9" ht="31.2">
      <c r="A1412" s="29">
        <v>604582</v>
      </c>
      <c r="B1412" s="8" t="s">
        <v>249</v>
      </c>
      <c r="C1412" s="16" t="s">
        <v>2641</v>
      </c>
      <c r="D1412" s="12"/>
      <c r="E1412" s="26" t="s">
        <v>14</v>
      </c>
      <c r="F1412" s="12"/>
      <c r="G1412" s="12"/>
      <c r="H1412" s="33">
        <v>21</v>
      </c>
      <c r="I1412" s="14" t="s">
        <v>15</v>
      </c>
    </row>
    <row r="1413" spans="1:9" ht="31.2">
      <c r="A1413" s="29">
        <v>604605</v>
      </c>
      <c r="B1413" s="8" t="s">
        <v>249</v>
      </c>
      <c r="C1413" s="16" t="s">
        <v>2642</v>
      </c>
      <c r="D1413" s="12"/>
      <c r="E1413" s="26" t="s">
        <v>14</v>
      </c>
      <c r="F1413" s="12"/>
      <c r="G1413" s="12"/>
      <c r="H1413" s="33">
        <v>21</v>
      </c>
      <c r="I1413" s="14" t="s">
        <v>15</v>
      </c>
    </row>
    <row r="1414" spans="1:9" ht="46.8">
      <c r="A1414" s="8">
        <v>604615</v>
      </c>
      <c r="B1414" s="8" t="s">
        <v>249</v>
      </c>
      <c r="C1414" s="37" t="s">
        <v>2643</v>
      </c>
      <c r="D1414" s="12"/>
      <c r="E1414" s="31" t="str">
        <f t="shared" ref="E1414:E1415" si="44">HYPERLINK("https://search.ancestryinstitution.com/search/db.aspx?dbid=3998","Ancestry.com")</f>
        <v>Ancestry.com</v>
      </c>
      <c r="F1414" s="12"/>
      <c r="G1414" s="12"/>
      <c r="H1414" s="8">
        <v>21</v>
      </c>
      <c r="I1414" s="7" t="s">
        <v>15</v>
      </c>
    </row>
    <row r="1415" spans="1:9" ht="31.2">
      <c r="A1415" s="8">
        <v>604617</v>
      </c>
      <c r="B1415" s="8" t="s">
        <v>249</v>
      </c>
      <c r="C1415" s="37" t="s">
        <v>2644</v>
      </c>
      <c r="D1415" s="12"/>
      <c r="E1415" s="31" t="str">
        <f t="shared" si="44"/>
        <v>Ancestry.com</v>
      </c>
      <c r="F1415" s="12"/>
      <c r="G1415" s="12"/>
      <c r="H1415" s="8">
        <v>21</v>
      </c>
      <c r="I1415" s="7" t="s">
        <v>15</v>
      </c>
    </row>
    <row r="1416" spans="1:9" ht="31.2">
      <c r="A1416" s="29">
        <v>604769</v>
      </c>
      <c r="B1416" s="8" t="s">
        <v>249</v>
      </c>
      <c r="C1416" s="34" t="s">
        <v>2645</v>
      </c>
      <c r="D1416" s="12"/>
      <c r="E1416" s="26" t="s">
        <v>14</v>
      </c>
      <c r="F1416" s="12"/>
      <c r="G1416" s="12"/>
      <c r="H1416" s="33">
        <v>21</v>
      </c>
      <c r="I1416" s="14" t="s">
        <v>11</v>
      </c>
    </row>
    <row r="1417" spans="1:9" ht="46.8">
      <c r="A1417" s="29">
        <v>604771</v>
      </c>
      <c r="B1417" s="8" t="s">
        <v>249</v>
      </c>
      <c r="C1417" s="16" t="s">
        <v>2646</v>
      </c>
      <c r="D1417" s="12"/>
      <c r="E1417" s="26" t="s">
        <v>14</v>
      </c>
      <c r="F1417" s="12"/>
      <c r="G1417" s="12"/>
      <c r="H1417" s="33">
        <v>21</v>
      </c>
      <c r="I1417" s="14" t="s">
        <v>15</v>
      </c>
    </row>
    <row r="1418" spans="1:9" ht="31.2">
      <c r="A1418" s="29">
        <v>605504</v>
      </c>
      <c r="B1418" s="8" t="s">
        <v>249</v>
      </c>
      <c r="C1418" s="16" t="s">
        <v>2647</v>
      </c>
      <c r="D1418" s="12"/>
      <c r="E1418" s="26" t="s">
        <v>14</v>
      </c>
      <c r="F1418" s="12"/>
      <c r="G1418" s="12"/>
      <c r="H1418" s="33">
        <v>21</v>
      </c>
      <c r="I1418" s="14" t="s">
        <v>15</v>
      </c>
    </row>
    <row r="1419" spans="1:9" ht="31.2">
      <c r="A1419" s="29">
        <v>605725</v>
      </c>
      <c r="B1419" s="8" t="s">
        <v>249</v>
      </c>
      <c r="C1419" s="16" t="s">
        <v>2648</v>
      </c>
      <c r="D1419" s="12"/>
      <c r="E1419" s="26" t="s">
        <v>14</v>
      </c>
      <c r="F1419" s="12"/>
      <c r="G1419" s="12"/>
      <c r="H1419" s="33">
        <v>21</v>
      </c>
      <c r="I1419" s="14" t="s">
        <v>15</v>
      </c>
    </row>
    <row r="1420" spans="1:9" ht="46.8">
      <c r="A1420" s="29">
        <v>605726</v>
      </c>
      <c r="B1420" s="8" t="s">
        <v>249</v>
      </c>
      <c r="C1420" s="16" t="s">
        <v>2649</v>
      </c>
      <c r="D1420" s="12"/>
      <c r="E1420" s="26" t="s">
        <v>14</v>
      </c>
      <c r="F1420" s="12"/>
      <c r="G1420" s="12"/>
      <c r="H1420" s="33">
        <v>21</v>
      </c>
      <c r="I1420" s="14" t="s">
        <v>15</v>
      </c>
    </row>
    <row r="1421" spans="1:9" ht="31.2">
      <c r="A1421" s="29">
        <v>605727</v>
      </c>
      <c r="B1421" s="8" t="s">
        <v>249</v>
      </c>
      <c r="C1421" s="16" t="s">
        <v>2650</v>
      </c>
      <c r="D1421" s="12"/>
      <c r="E1421" s="26" t="s">
        <v>14</v>
      </c>
      <c r="F1421" s="12"/>
      <c r="G1421" s="12"/>
      <c r="H1421" s="33">
        <v>21</v>
      </c>
      <c r="I1421" s="14" t="s">
        <v>15</v>
      </c>
    </row>
    <row r="1422" spans="1:9" ht="31.2">
      <c r="A1422" s="29">
        <v>605894</v>
      </c>
      <c r="B1422" s="8" t="s">
        <v>249</v>
      </c>
      <c r="C1422" s="80" t="s">
        <v>2651</v>
      </c>
      <c r="D1422" s="32" t="s">
        <v>220</v>
      </c>
      <c r="E1422" s="12"/>
      <c r="F1422" s="12"/>
      <c r="G1422" s="12"/>
      <c r="H1422" s="33">
        <v>217</v>
      </c>
      <c r="I1422" s="14" t="s">
        <v>15</v>
      </c>
    </row>
    <row r="1423" spans="1:9" ht="31.2">
      <c r="A1423" s="29">
        <v>607937</v>
      </c>
      <c r="B1423" s="8" t="s">
        <v>249</v>
      </c>
      <c r="C1423" s="16" t="s">
        <v>2652</v>
      </c>
      <c r="D1423" s="12"/>
      <c r="E1423" s="32" t="str">
        <f>HYPERLINK("https://search.ancestryinstitution.com/search/db.aspx?dbid=1632","Ancestry.com")</f>
        <v>Ancestry.com</v>
      </c>
      <c r="F1423" s="12"/>
      <c r="G1423" s="12"/>
      <c r="H1423" s="33">
        <v>129</v>
      </c>
      <c r="I1423" s="14" t="s">
        <v>15</v>
      </c>
    </row>
    <row r="1424" spans="1:9" ht="31.2">
      <c r="A1424" s="8">
        <v>609035</v>
      </c>
      <c r="B1424" s="8" t="s">
        <v>249</v>
      </c>
      <c r="C1424" s="37" t="s">
        <v>2653</v>
      </c>
      <c r="D1424" s="12"/>
      <c r="E1424" s="12"/>
      <c r="F1424" s="12"/>
      <c r="G1424" s="78" t="s">
        <v>2505</v>
      </c>
      <c r="H1424" s="8">
        <v>21</v>
      </c>
      <c r="I1424" s="14" t="s">
        <v>15</v>
      </c>
    </row>
    <row r="1425" spans="1:9" ht="31.2">
      <c r="A1425" s="29">
        <v>609397</v>
      </c>
      <c r="B1425" s="8" t="s">
        <v>249</v>
      </c>
      <c r="C1425" s="16" t="s">
        <v>2654</v>
      </c>
      <c r="D1425" s="12"/>
      <c r="E1425" s="32" t="str">
        <f>HYPERLINK("https://search.ancestryinstitution.com/search/db.aspx?dbid=2530","Ancestry.com")</f>
        <v>Ancestry.com</v>
      </c>
      <c r="F1425" s="12"/>
      <c r="G1425" s="12"/>
      <c r="H1425" s="33">
        <v>21</v>
      </c>
      <c r="I1425" s="14" t="s">
        <v>15</v>
      </c>
    </row>
    <row r="1426" spans="1:9" ht="46.8">
      <c r="A1426" s="8">
        <v>610908</v>
      </c>
      <c r="B1426" s="8" t="s">
        <v>249</v>
      </c>
      <c r="C1426" s="37" t="s">
        <v>2655</v>
      </c>
      <c r="D1426" s="12"/>
      <c r="E1426" s="12"/>
      <c r="F1426" s="12"/>
      <c r="G1426" s="78" t="s">
        <v>2505</v>
      </c>
      <c r="H1426" s="8">
        <v>21</v>
      </c>
      <c r="I1426" s="14" t="s">
        <v>15</v>
      </c>
    </row>
    <row r="1427" spans="1:9" ht="31.2">
      <c r="A1427" s="29">
        <v>611024</v>
      </c>
      <c r="B1427" s="8" t="s">
        <v>249</v>
      </c>
      <c r="C1427" s="34" t="s">
        <v>2656</v>
      </c>
      <c r="D1427" s="12"/>
      <c r="E1427" s="26" t="s">
        <v>14</v>
      </c>
      <c r="F1427" s="12"/>
      <c r="G1427" s="12"/>
      <c r="H1427" s="33">
        <v>21</v>
      </c>
      <c r="I1427" s="14" t="s">
        <v>18</v>
      </c>
    </row>
    <row r="1428" spans="1:9" ht="31.2">
      <c r="A1428" s="29">
        <v>611026</v>
      </c>
      <c r="B1428" s="8" t="s">
        <v>249</v>
      </c>
      <c r="C1428" s="34" t="s">
        <v>2657</v>
      </c>
      <c r="D1428" s="12"/>
      <c r="E1428" s="26" t="s">
        <v>14</v>
      </c>
      <c r="F1428" s="12"/>
      <c r="G1428" s="12"/>
      <c r="H1428" s="33">
        <v>21</v>
      </c>
      <c r="I1428" s="14" t="s">
        <v>18</v>
      </c>
    </row>
    <row r="1429" spans="1:9" ht="31.2">
      <c r="A1429" s="29">
        <v>611027</v>
      </c>
      <c r="B1429" s="8" t="s">
        <v>249</v>
      </c>
      <c r="C1429" s="16" t="s">
        <v>2658</v>
      </c>
      <c r="D1429" s="12"/>
      <c r="E1429" s="26" t="s">
        <v>14</v>
      </c>
      <c r="F1429" s="12"/>
      <c r="G1429" s="12"/>
      <c r="H1429" s="33">
        <v>21</v>
      </c>
      <c r="I1429" s="14" t="s">
        <v>15</v>
      </c>
    </row>
    <row r="1430" spans="1:9" ht="46.8">
      <c r="A1430" s="8">
        <v>611428</v>
      </c>
      <c r="B1430" s="8" t="s">
        <v>249</v>
      </c>
      <c r="C1430" s="37" t="s">
        <v>2659</v>
      </c>
      <c r="D1430" s="12"/>
      <c r="E1430" s="12"/>
      <c r="F1430" s="12"/>
      <c r="G1430" s="78" t="s">
        <v>2505</v>
      </c>
      <c r="H1430" s="8">
        <v>21</v>
      </c>
      <c r="I1430" s="14" t="s">
        <v>15</v>
      </c>
    </row>
    <row r="1431" spans="1:9" ht="31.2">
      <c r="A1431" s="8">
        <v>611523</v>
      </c>
      <c r="B1431" s="8" t="s">
        <v>249</v>
      </c>
      <c r="C1431" s="37" t="s">
        <v>2660</v>
      </c>
      <c r="D1431" s="12"/>
      <c r="E1431" s="12"/>
      <c r="F1431" s="12"/>
      <c r="G1431" s="78" t="s">
        <v>2505</v>
      </c>
      <c r="H1431" s="8">
        <v>21</v>
      </c>
      <c r="I1431" s="14" t="s">
        <v>15</v>
      </c>
    </row>
    <row r="1432" spans="1:9" ht="31.2">
      <c r="A1432" s="29">
        <v>612775</v>
      </c>
      <c r="B1432" s="8" t="s">
        <v>249</v>
      </c>
      <c r="C1432" s="16" t="s">
        <v>2661</v>
      </c>
      <c r="D1432" s="12"/>
      <c r="E1432" s="32" t="str">
        <f>HYPERLINK("https://search.ancestryinstitution.com/search/db.aspx?dbid=2531","Ancestry.com")</f>
        <v>Ancestry.com</v>
      </c>
      <c r="F1432" s="12"/>
      <c r="G1432" s="12"/>
      <c r="H1432" s="33">
        <v>21</v>
      </c>
      <c r="I1432" s="14" t="s">
        <v>15</v>
      </c>
    </row>
    <row r="1433" spans="1:9" ht="46.8">
      <c r="A1433" s="29">
        <v>614032</v>
      </c>
      <c r="B1433" s="8" t="s">
        <v>249</v>
      </c>
      <c r="C1433" s="16" t="s">
        <v>2662</v>
      </c>
      <c r="D1433" s="12"/>
      <c r="E1433" s="26" t="s">
        <v>14</v>
      </c>
      <c r="F1433" s="12"/>
      <c r="G1433" s="12"/>
      <c r="H1433" s="33">
        <v>21</v>
      </c>
      <c r="I1433" s="14" t="s">
        <v>15</v>
      </c>
    </row>
    <row r="1434" spans="1:9" ht="31.2">
      <c r="A1434" s="29">
        <v>614033</v>
      </c>
      <c r="B1434" s="8" t="s">
        <v>249</v>
      </c>
      <c r="C1434" s="16" t="s">
        <v>2663</v>
      </c>
      <c r="D1434" s="12"/>
      <c r="E1434" s="26" t="s">
        <v>14</v>
      </c>
      <c r="F1434" s="12"/>
      <c r="G1434" s="12"/>
      <c r="H1434" s="33">
        <v>21</v>
      </c>
      <c r="I1434" s="14" t="s">
        <v>15</v>
      </c>
    </row>
    <row r="1435" spans="1:9" ht="31.2">
      <c r="A1435" s="8">
        <v>615775</v>
      </c>
      <c r="B1435" s="8" t="s">
        <v>249</v>
      </c>
      <c r="C1435" s="37" t="s">
        <v>2664</v>
      </c>
      <c r="D1435" s="12"/>
      <c r="E1435" s="12"/>
      <c r="F1435" s="31" t="str">
        <f>HYPERLINK("https://www.familysearch.org/search/catalog/3273151","FamilySearch.org")</f>
        <v>FamilySearch.org</v>
      </c>
      <c r="G1435" s="12"/>
      <c r="H1435" s="8">
        <v>21</v>
      </c>
      <c r="I1435" s="7" t="s">
        <v>15</v>
      </c>
    </row>
    <row r="1436" spans="1:9" ht="46.8">
      <c r="A1436" s="8">
        <v>616363</v>
      </c>
      <c r="B1436" s="8" t="s">
        <v>249</v>
      </c>
      <c r="C1436" s="34" t="s">
        <v>2665</v>
      </c>
      <c r="D1436" s="12"/>
      <c r="E1436" s="12"/>
      <c r="F1436" s="31" t="str">
        <f>HYPERLINK("https://www.familysearch.org/search/catalog/2822372","FamilySearch.org")</f>
        <v>FamilySearch.org</v>
      </c>
      <c r="G1436" s="12"/>
      <c r="H1436" s="8">
        <v>36</v>
      </c>
      <c r="I1436" s="7" t="s">
        <v>11</v>
      </c>
    </row>
    <row r="1437" spans="1:9" ht="31.2">
      <c r="A1437" s="8">
        <v>616473</v>
      </c>
      <c r="B1437" s="8" t="s">
        <v>249</v>
      </c>
      <c r="C1437" s="34" t="s">
        <v>2666</v>
      </c>
      <c r="D1437" s="12"/>
      <c r="E1437" s="12"/>
      <c r="F1437" s="31" t="str">
        <f>HYPERLINK("https://www.familysearch.org/search/catalog/2840826","FamilySearch.org")</f>
        <v>FamilySearch.org</v>
      </c>
      <c r="G1437" s="12"/>
      <c r="H1437" s="8">
        <v>36</v>
      </c>
      <c r="I1437" s="7" t="s">
        <v>11</v>
      </c>
    </row>
    <row r="1438" spans="1:9" ht="31.2">
      <c r="A1438" s="29">
        <v>616834</v>
      </c>
      <c r="B1438" s="8" t="s">
        <v>249</v>
      </c>
      <c r="C1438" s="16" t="s">
        <v>2667</v>
      </c>
      <c r="D1438" s="12"/>
      <c r="E1438" s="26" t="s">
        <v>14</v>
      </c>
      <c r="F1438" s="12"/>
      <c r="G1438" s="12"/>
      <c r="H1438" s="33">
        <v>21</v>
      </c>
      <c r="I1438" s="14" t="s">
        <v>15</v>
      </c>
    </row>
    <row r="1439" spans="1:9" ht="62.4">
      <c r="A1439" s="29">
        <v>618171</v>
      </c>
      <c r="B1439" s="8" t="s">
        <v>249</v>
      </c>
      <c r="C1439" s="35" t="s">
        <v>2668</v>
      </c>
      <c r="D1439" s="12"/>
      <c r="E1439" s="26" t="s">
        <v>14</v>
      </c>
      <c r="F1439" s="12"/>
      <c r="G1439" s="12"/>
      <c r="H1439" s="33">
        <v>21</v>
      </c>
      <c r="I1439" s="14" t="s">
        <v>18</v>
      </c>
    </row>
    <row r="1440" spans="1:9" ht="31.2">
      <c r="A1440" s="29">
        <v>619209</v>
      </c>
      <c r="B1440" s="8" t="s">
        <v>249</v>
      </c>
      <c r="C1440" s="34" t="s">
        <v>2669</v>
      </c>
      <c r="D1440" s="12"/>
      <c r="E1440" s="32" t="str">
        <f>HYPERLINK("https://search.ancestryinstitution.com/search/db.aspx?dbid=2531","Ancestry.com")</f>
        <v>Ancestry.com</v>
      </c>
      <c r="F1440" s="12"/>
      <c r="G1440" s="12"/>
      <c r="H1440" s="33">
        <v>21</v>
      </c>
      <c r="I1440" s="14" t="s">
        <v>18</v>
      </c>
    </row>
    <row r="1441" spans="1:9" ht="46.8">
      <c r="A1441" s="8">
        <v>619743</v>
      </c>
      <c r="B1441" s="8" t="s">
        <v>249</v>
      </c>
      <c r="C1441" s="37" t="s">
        <v>2670</v>
      </c>
      <c r="D1441" s="12"/>
      <c r="E1441" s="12"/>
      <c r="F1441" s="31" t="str">
        <f>HYPERLINK("https://www.familysearch.org/search/catalog/3273151","FamilySearch.org")</f>
        <v>FamilySearch.org</v>
      </c>
      <c r="G1441" s="12"/>
      <c r="H1441" s="8">
        <v>21</v>
      </c>
      <c r="I1441" s="7" t="s">
        <v>15</v>
      </c>
    </row>
    <row r="1442" spans="1:9" ht="31.2">
      <c r="A1442" s="8">
        <v>621160</v>
      </c>
      <c r="B1442" s="8" t="s">
        <v>249</v>
      </c>
      <c r="C1442" s="37" t="s">
        <v>2671</v>
      </c>
      <c r="D1442" s="12"/>
      <c r="E1442" s="31" t="str">
        <f t="shared" ref="E1442:E1446" si="45">HYPERLINK("https://search.ancestryinstitution.com/search/db.aspx?dbid=3998","Ancestry.com")</f>
        <v>Ancestry.com</v>
      </c>
      <c r="F1442" s="12"/>
      <c r="G1442" s="12"/>
      <c r="H1442" s="8">
        <v>21</v>
      </c>
      <c r="I1442" s="7" t="s">
        <v>15</v>
      </c>
    </row>
    <row r="1443" spans="1:9" ht="46.8">
      <c r="A1443" s="8">
        <v>621252</v>
      </c>
      <c r="B1443" s="8" t="s">
        <v>249</v>
      </c>
      <c r="C1443" s="37" t="s">
        <v>2672</v>
      </c>
      <c r="D1443" s="12"/>
      <c r="E1443" s="31" t="str">
        <f t="shared" si="45"/>
        <v>Ancestry.com</v>
      </c>
      <c r="F1443" s="12"/>
      <c r="G1443" s="12"/>
      <c r="H1443" s="8">
        <v>21</v>
      </c>
      <c r="I1443" s="7" t="s">
        <v>15</v>
      </c>
    </row>
    <row r="1444" spans="1:9" ht="46.8">
      <c r="A1444" s="8">
        <v>621254</v>
      </c>
      <c r="B1444" s="8" t="s">
        <v>249</v>
      </c>
      <c r="C1444" s="37" t="s">
        <v>2673</v>
      </c>
      <c r="D1444" s="12"/>
      <c r="E1444" s="31" t="str">
        <f t="shared" si="45"/>
        <v>Ancestry.com</v>
      </c>
      <c r="F1444" s="12"/>
      <c r="G1444" s="12"/>
      <c r="H1444" s="8">
        <v>21</v>
      </c>
      <c r="I1444" s="7" t="s">
        <v>15</v>
      </c>
    </row>
    <row r="1445" spans="1:9" ht="46.8">
      <c r="A1445" s="8">
        <v>621255</v>
      </c>
      <c r="B1445" s="8" t="s">
        <v>249</v>
      </c>
      <c r="C1445" s="37" t="s">
        <v>2674</v>
      </c>
      <c r="D1445" s="12"/>
      <c r="E1445" s="31" t="str">
        <f t="shared" si="45"/>
        <v>Ancestry.com</v>
      </c>
      <c r="F1445" s="12"/>
      <c r="G1445" s="12"/>
      <c r="H1445" s="8">
        <v>21</v>
      </c>
      <c r="I1445" s="7" t="s">
        <v>15</v>
      </c>
    </row>
    <row r="1446" spans="1:9" ht="46.8">
      <c r="A1446" s="8">
        <v>621261</v>
      </c>
      <c r="B1446" s="8" t="s">
        <v>249</v>
      </c>
      <c r="C1446" s="37" t="s">
        <v>2675</v>
      </c>
      <c r="D1446" s="12"/>
      <c r="E1446" s="31" t="str">
        <f t="shared" si="45"/>
        <v>Ancestry.com</v>
      </c>
      <c r="F1446" s="12"/>
      <c r="G1446" s="12"/>
      <c r="H1446" s="8">
        <v>21</v>
      </c>
      <c r="I1446" s="7" t="s">
        <v>15</v>
      </c>
    </row>
    <row r="1447" spans="1:9" ht="46.8">
      <c r="A1447" s="29">
        <v>621262</v>
      </c>
      <c r="B1447" s="8" t="s">
        <v>249</v>
      </c>
      <c r="C1447" s="34" t="s">
        <v>2676</v>
      </c>
      <c r="D1447" s="12"/>
      <c r="E1447" s="26" t="s">
        <v>14</v>
      </c>
      <c r="F1447" s="12"/>
      <c r="G1447" s="12"/>
      <c r="H1447" s="33">
        <v>21</v>
      </c>
      <c r="I1447" s="14" t="s">
        <v>18</v>
      </c>
    </row>
    <row r="1448" spans="1:9" ht="46.8">
      <c r="A1448" s="8">
        <v>621264</v>
      </c>
      <c r="B1448" s="8" t="s">
        <v>249</v>
      </c>
      <c r="C1448" s="37" t="s">
        <v>2677</v>
      </c>
      <c r="D1448" s="12"/>
      <c r="E1448" s="31" t="str">
        <f t="shared" ref="E1448:E1449" si="46">HYPERLINK("https://search.ancestryinstitution.com/search/db.aspx?dbid=3998","Ancestry.com")</f>
        <v>Ancestry.com</v>
      </c>
      <c r="F1448" s="12"/>
      <c r="G1448" s="12"/>
      <c r="H1448" s="8">
        <v>21</v>
      </c>
      <c r="I1448" s="7" t="s">
        <v>15</v>
      </c>
    </row>
    <row r="1449" spans="1:9" ht="46.8">
      <c r="A1449" s="8">
        <v>621266</v>
      </c>
      <c r="B1449" s="8" t="s">
        <v>249</v>
      </c>
      <c r="C1449" s="37" t="s">
        <v>2678</v>
      </c>
      <c r="D1449" s="12"/>
      <c r="E1449" s="31" t="str">
        <f t="shared" si="46"/>
        <v>Ancestry.com</v>
      </c>
      <c r="F1449" s="12"/>
      <c r="G1449" s="12"/>
      <c r="H1449" s="8">
        <v>21</v>
      </c>
      <c r="I1449" s="7" t="s">
        <v>15</v>
      </c>
    </row>
    <row r="1450" spans="1:9" ht="15.6">
      <c r="A1450" s="29">
        <v>623234</v>
      </c>
      <c r="B1450" s="8" t="s">
        <v>249</v>
      </c>
      <c r="C1450" s="34" t="s">
        <v>2679</v>
      </c>
      <c r="D1450" s="32" t="str">
        <f>HYPERLINK("https://www.fold3.com/title/765/wwii-old-mans-draft-registration-cards","Fold3.com")</f>
        <v>Fold3.com</v>
      </c>
      <c r="E1450" s="26" t="s">
        <v>14</v>
      </c>
      <c r="F1450" s="12"/>
      <c r="G1450" s="12"/>
      <c r="H1450" s="33">
        <v>147</v>
      </c>
      <c r="I1450" s="14" t="s">
        <v>11</v>
      </c>
    </row>
    <row r="1451" spans="1:9" ht="31.2">
      <c r="A1451" s="29">
        <v>623273</v>
      </c>
      <c r="B1451" s="8" t="s">
        <v>249</v>
      </c>
      <c r="C1451" s="16" t="s">
        <v>2680</v>
      </c>
      <c r="D1451" s="32" t="s">
        <v>220</v>
      </c>
      <c r="E1451" s="12"/>
      <c r="F1451" s="12"/>
      <c r="G1451" s="12"/>
      <c r="H1451" s="33">
        <v>147</v>
      </c>
      <c r="I1451" s="14" t="s">
        <v>15</v>
      </c>
    </row>
    <row r="1452" spans="1:9" ht="31.2">
      <c r="A1452" s="29">
        <v>623283</v>
      </c>
      <c r="B1452" s="8" t="s">
        <v>249</v>
      </c>
      <c r="C1452" s="16" t="s">
        <v>2681</v>
      </c>
      <c r="D1452" s="32" t="str">
        <f>HYPERLINK("https://www.fold3.com/title/765/wwii-old-mans-draft-registration-cards","Fold3.com")</f>
        <v>Fold3.com</v>
      </c>
      <c r="E1452" s="26" t="s">
        <v>14</v>
      </c>
      <c r="F1452" s="12"/>
      <c r="G1452" s="12"/>
      <c r="H1452" s="33">
        <v>147</v>
      </c>
      <c r="I1452" s="14" t="s">
        <v>15</v>
      </c>
    </row>
    <row r="1453" spans="1:9" ht="15.6">
      <c r="A1453" s="29">
        <v>623284</v>
      </c>
      <c r="B1453" s="8" t="s">
        <v>249</v>
      </c>
      <c r="C1453" s="34" t="s">
        <v>2682</v>
      </c>
      <c r="D1453" s="32" t="s">
        <v>220</v>
      </c>
      <c r="E1453" s="12"/>
      <c r="F1453" s="12"/>
      <c r="G1453" s="12"/>
      <c r="H1453" s="33">
        <v>147</v>
      </c>
      <c r="I1453" s="14" t="s">
        <v>11</v>
      </c>
    </row>
    <row r="1454" spans="1:9" ht="31.2">
      <c r="A1454" s="29">
        <v>623285</v>
      </c>
      <c r="B1454" s="8" t="s">
        <v>249</v>
      </c>
      <c r="C1454" s="16" t="s">
        <v>2683</v>
      </c>
      <c r="D1454" s="32" t="str">
        <f>HYPERLINK("https://www.fold3.com/title/765/wwii-old-mans-draft-registration-cards","Fold3.com")</f>
        <v>Fold3.com</v>
      </c>
      <c r="E1454" s="26" t="s">
        <v>14</v>
      </c>
      <c r="F1454" s="12"/>
      <c r="G1454" s="12"/>
      <c r="H1454" s="33">
        <v>147</v>
      </c>
      <c r="I1454" s="14" t="s">
        <v>15</v>
      </c>
    </row>
    <row r="1455" spans="1:9" ht="31.2">
      <c r="A1455" s="8">
        <v>623862</v>
      </c>
      <c r="B1455" s="8" t="s">
        <v>249</v>
      </c>
      <c r="C1455" s="37" t="s">
        <v>2684</v>
      </c>
      <c r="D1455" s="12"/>
      <c r="E1455" s="31" t="str">
        <f t="shared" ref="E1455:E1456" si="47">HYPERLINK("https://search.ancestryinstitution.com/search/db.aspx?dbid=3998","Ancestry.com")</f>
        <v>Ancestry.com</v>
      </c>
      <c r="F1455" s="12"/>
      <c r="G1455" s="12"/>
      <c r="H1455" s="8">
        <v>21</v>
      </c>
      <c r="I1455" s="7" t="s">
        <v>15</v>
      </c>
    </row>
    <row r="1456" spans="1:9" ht="46.8">
      <c r="A1456" s="8">
        <v>624272</v>
      </c>
      <c r="B1456" s="8" t="s">
        <v>249</v>
      </c>
      <c r="C1456" s="37" t="s">
        <v>2685</v>
      </c>
      <c r="D1456" s="12"/>
      <c r="E1456" s="31" t="str">
        <f t="shared" si="47"/>
        <v>Ancestry.com</v>
      </c>
      <c r="F1456" s="12"/>
      <c r="G1456" s="12"/>
      <c r="H1456" s="8">
        <v>21</v>
      </c>
      <c r="I1456" s="7" t="s">
        <v>15</v>
      </c>
    </row>
    <row r="1457" spans="1:9" ht="31.2">
      <c r="A1457" s="29">
        <v>630679</v>
      </c>
      <c r="B1457" s="8" t="s">
        <v>249</v>
      </c>
      <c r="C1457" s="16" t="s">
        <v>2686</v>
      </c>
      <c r="D1457" s="12"/>
      <c r="E1457" s="26" t="s">
        <v>14</v>
      </c>
      <c r="F1457" s="12"/>
      <c r="G1457" s="12"/>
      <c r="H1457" s="33">
        <v>96</v>
      </c>
      <c r="I1457" s="14" t="s">
        <v>15</v>
      </c>
    </row>
    <row r="1458" spans="1:9" ht="31.2">
      <c r="A1458" s="8">
        <v>633954</v>
      </c>
      <c r="B1458" s="8" t="s">
        <v>249</v>
      </c>
      <c r="C1458" s="54" t="s">
        <v>2687</v>
      </c>
      <c r="D1458" s="12"/>
      <c r="E1458" s="12"/>
      <c r="F1458" s="31" t="str">
        <f>HYPERLINK("https://www.familysearch.org/search/catalog/2831089","FamilySearch.org")</f>
        <v>FamilySearch.org</v>
      </c>
      <c r="G1458" s="12"/>
      <c r="H1458" s="8">
        <v>147</v>
      </c>
      <c r="I1458" s="15" t="s">
        <v>11</v>
      </c>
    </row>
    <row r="1459" spans="1:9" ht="31.2">
      <c r="A1459" s="8">
        <v>633955</v>
      </c>
      <c r="B1459" s="8" t="s">
        <v>249</v>
      </c>
      <c r="C1459" s="37" t="s">
        <v>2688</v>
      </c>
      <c r="D1459" s="12"/>
      <c r="E1459" s="12"/>
      <c r="F1459" s="31" t="str">
        <f>HYPERLINK("https://www.familysearch.org/search/catalog/2818908","FamilySearch.org")</f>
        <v>FamilySearch.org</v>
      </c>
      <c r="G1459" s="12"/>
      <c r="H1459" s="8">
        <v>147</v>
      </c>
      <c r="I1459" s="7" t="s">
        <v>15</v>
      </c>
    </row>
    <row r="1460" spans="1:9" ht="31.2">
      <c r="A1460" s="29">
        <v>635698</v>
      </c>
      <c r="B1460" s="8" t="s">
        <v>249</v>
      </c>
      <c r="C1460" s="16" t="s">
        <v>2689</v>
      </c>
      <c r="D1460" s="12"/>
      <c r="E1460" s="26" t="s">
        <v>14</v>
      </c>
      <c r="F1460" s="12"/>
      <c r="G1460" s="12"/>
      <c r="H1460" s="33">
        <v>96</v>
      </c>
      <c r="I1460" s="14" t="s">
        <v>15</v>
      </c>
    </row>
    <row r="1461" spans="1:9" ht="31.2">
      <c r="A1461" s="29">
        <v>636264</v>
      </c>
      <c r="B1461" s="8" t="s">
        <v>249</v>
      </c>
      <c r="C1461" s="16" t="s">
        <v>2690</v>
      </c>
      <c r="D1461" s="12"/>
      <c r="E1461" s="26" t="s">
        <v>14</v>
      </c>
      <c r="F1461" s="12"/>
      <c r="G1461" s="12"/>
      <c r="H1461" s="33">
        <v>96</v>
      </c>
      <c r="I1461" s="14" t="s">
        <v>15</v>
      </c>
    </row>
    <row r="1462" spans="1:9" ht="46.8">
      <c r="A1462" s="29">
        <v>638090</v>
      </c>
      <c r="B1462" s="8" t="s">
        <v>249</v>
      </c>
      <c r="C1462" s="16" t="s">
        <v>2691</v>
      </c>
      <c r="D1462" s="12"/>
      <c r="E1462" s="32" t="str">
        <f>HYPERLINK("https://search.ancestryinstitution.com/search/db.aspx?dbid=2531","Ancestry.com")</f>
        <v>Ancestry.com</v>
      </c>
      <c r="F1462" s="12"/>
      <c r="G1462" s="12"/>
      <c r="H1462" s="33">
        <v>21</v>
      </c>
      <c r="I1462" s="14" t="s">
        <v>15</v>
      </c>
    </row>
    <row r="1463" spans="1:9" ht="31.2">
      <c r="A1463" s="29">
        <v>638273</v>
      </c>
      <c r="B1463" s="8" t="s">
        <v>249</v>
      </c>
      <c r="C1463" s="49" t="s">
        <v>2692</v>
      </c>
      <c r="D1463" s="12"/>
      <c r="E1463" s="26" t="s">
        <v>14</v>
      </c>
      <c r="F1463" s="12"/>
      <c r="G1463" s="12"/>
      <c r="H1463" s="33">
        <v>59</v>
      </c>
      <c r="I1463" s="23" t="s">
        <v>11</v>
      </c>
    </row>
    <row r="1464" spans="1:9" ht="31.2">
      <c r="A1464" s="8">
        <v>642084</v>
      </c>
      <c r="B1464" s="8" t="s">
        <v>249</v>
      </c>
      <c r="C1464" s="54" t="str">
        <f>HYPERLINK("https://catalog.archives.gov/search?q=*:*&amp;f.ancestorNaIds=642084&amp;sort=naIdSort%20asc","Petitions and Records of Naturalization, Connecticut, 1906-1911")</f>
        <v>Petitions and Records of Naturalization, Connecticut, 1906-1911</v>
      </c>
      <c r="D1464" s="12"/>
      <c r="E1464" s="12"/>
      <c r="F1464" s="31" t="str">
        <f>HYPERLINK("https://www.familysearch.org/search/catalog/1446493","FamilySearch.org")</f>
        <v>FamilySearch.org</v>
      </c>
      <c r="G1464" s="12"/>
      <c r="H1464" s="8">
        <v>21</v>
      </c>
      <c r="I1464" s="15" t="s">
        <v>11</v>
      </c>
    </row>
    <row r="1465" spans="1:9" ht="31.2">
      <c r="A1465" s="29">
        <v>642354</v>
      </c>
      <c r="B1465" s="8" t="s">
        <v>249</v>
      </c>
      <c r="C1465" s="16" t="s">
        <v>2693</v>
      </c>
      <c r="D1465" s="12"/>
      <c r="E1465" s="26" t="s">
        <v>14</v>
      </c>
      <c r="F1465" s="12"/>
      <c r="G1465" s="12"/>
      <c r="H1465" s="33">
        <v>75</v>
      </c>
      <c r="I1465" s="14" t="s">
        <v>15</v>
      </c>
    </row>
    <row r="1466" spans="1:9" ht="31.2">
      <c r="A1466" s="8">
        <v>645969</v>
      </c>
      <c r="B1466" s="8" t="s">
        <v>249</v>
      </c>
      <c r="C1466" s="54" t="s">
        <v>2694</v>
      </c>
      <c r="D1466" s="12"/>
      <c r="E1466" s="12"/>
      <c r="F1466" s="31" t="str">
        <f>HYPERLINK("https://www.familysearch.org/search/catalog/2829800","FamilySearch.org")</f>
        <v>FamilySearch.org</v>
      </c>
      <c r="G1466" s="12"/>
      <c r="H1466" s="8">
        <v>21</v>
      </c>
      <c r="I1466" s="15" t="s">
        <v>11</v>
      </c>
    </row>
    <row r="1467" spans="1:9" ht="46.8">
      <c r="A1467" s="29">
        <v>647303</v>
      </c>
      <c r="B1467" s="8" t="s">
        <v>249</v>
      </c>
      <c r="C1467" s="16" t="s">
        <v>2695</v>
      </c>
      <c r="D1467" s="12"/>
      <c r="E1467" s="26" t="s">
        <v>14</v>
      </c>
      <c r="F1467" s="12"/>
      <c r="G1467" s="12"/>
      <c r="H1467" s="33">
        <v>21</v>
      </c>
      <c r="I1467" s="14" t="s">
        <v>15</v>
      </c>
    </row>
    <row r="1468" spans="1:9" ht="46.8">
      <c r="A1468" s="29">
        <v>647304</v>
      </c>
      <c r="B1468" s="8" t="s">
        <v>249</v>
      </c>
      <c r="C1468" s="16" t="s">
        <v>2696</v>
      </c>
      <c r="D1468" s="12"/>
      <c r="E1468" s="26" t="s">
        <v>14</v>
      </c>
      <c r="F1468" s="12"/>
      <c r="G1468" s="12"/>
      <c r="H1468" s="33">
        <v>21</v>
      </c>
      <c r="I1468" s="14" t="s">
        <v>15</v>
      </c>
    </row>
    <row r="1469" spans="1:9" ht="46.8">
      <c r="A1469" s="29">
        <v>647811</v>
      </c>
      <c r="B1469" s="8" t="s">
        <v>249</v>
      </c>
      <c r="C1469" s="35" t="s">
        <v>2697</v>
      </c>
      <c r="D1469" s="12"/>
      <c r="E1469" s="26" t="s">
        <v>14</v>
      </c>
      <c r="F1469" s="12"/>
      <c r="G1469" s="12"/>
      <c r="H1469" s="33">
        <v>21</v>
      </c>
      <c r="I1469" s="14" t="s">
        <v>18</v>
      </c>
    </row>
    <row r="1470" spans="1:9" ht="31.2">
      <c r="A1470" s="8">
        <v>648127</v>
      </c>
      <c r="B1470" s="8" t="s">
        <v>249</v>
      </c>
      <c r="C1470" s="54" t="str">
        <f>HYPERLINK("https://catalog.archives.gov/search?q=*:*&amp;f.ancestorNaIds=648127&amp;sort=naIdSort%20asc","List of Persons Naturalized, Iowa (Southern (Keokuk) Division), 1853-1874")</f>
        <v>List of Persons Naturalized, Iowa (Southern (Keokuk) Division), 1853-1874</v>
      </c>
      <c r="D1470" s="12"/>
      <c r="E1470" s="12"/>
      <c r="F1470" s="31" t="str">
        <f>HYPERLINK("https://www.familysearch.org/search/catalog/2820317","FamilySearch.org")</f>
        <v>FamilySearch.org</v>
      </c>
      <c r="G1470" s="12"/>
      <c r="H1470" s="8">
        <v>21</v>
      </c>
      <c r="I1470" s="15" t="s">
        <v>11</v>
      </c>
    </row>
    <row r="1471" spans="1:9" ht="46.8">
      <c r="A1471" s="8">
        <v>648557</v>
      </c>
      <c r="B1471" s="8" t="s">
        <v>249</v>
      </c>
      <c r="C1471" s="54" t="str">
        <f>HYPERLINK("https://catalog.archives.gov/search?q=*:*&amp;f.ancestorNaIds=648557&amp;sort=naIdSort%20asc","Declarations of Intention for Citizenship, Iowa (Cedar Rapids Division of the Northern District), 1910 - 1981")</f>
        <v>Declarations of Intention for Citizenship, Iowa (Cedar Rapids Division of the Northern District), 1910 - 1981</v>
      </c>
      <c r="D1471" s="12"/>
      <c r="E1471" s="12"/>
      <c r="F1471" s="31" t="str">
        <f t="shared" ref="F1471:F1472" si="48">HYPERLINK("https://www.familysearch.org/search/catalog/2820312","FamilySearch.org")</f>
        <v>FamilySearch.org</v>
      </c>
      <c r="G1471" s="12"/>
      <c r="H1471" s="8">
        <v>21</v>
      </c>
      <c r="I1471" s="23" t="s">
        <v>18</v>
      </c>
    </row>
    <row r="1472" spans="1:9" ht="31.2">
      <c r="A1472" s="8">
        <v>648592</v>
      </c>
      <c r="B1472" s="8" t="s">
        <v>249</v>
      </c>
      <c r="C1472" s="54" t="str">
        <f>HYPERLINK("https://catalog.archives.gov/search?q=*:*&amp;f.ancestorNaIds=648592&amp;sort=naIdSort%20asc","Declarations of Intention for Citizenship, Iowa (Linn County), 1886 - 1947")</f>
        <v>Declarations of Intention for Citizenship, Iowa (Linn County), 1886 - 1947</v>
      </c>
      <c r="D1472" s="12"/>
      <c r="E1472" s="12"/>
      <c r="F1472" s="31" t="str">
        <f t="shared" si="48"/>
        <v>FamilySearch.org</v>
      </c>
      <c r="G1472" s="12"/>
      <c r="H1472" s="8">
        <v>21</v>
      </c>
      <c r="I1472" s="23" t="s">
        <v>18</v>
      </c>
    </row>
    <row r="1473" spans="1:9" ht="46.8">
      <c r="A1473" s="29">
        <v>648598</v>
      </c>
      <c r="B1473" s="8" t="s">
        <v>249</v>
      </c>
      <c r="C1473" s="35" t="s">
        <v>2698</v>
      </c>
      <c r="D1473" s="12"/>
      <c r="E1473" s="26" t="s">
        <v>14</v>
      </c>
      <c r="F1473" s="12"/>
      <c r="G1473" s="12"/>
      <c r="H1473" s="33">
        <v>21</v>
      </c>
      <c r="I1473" s="14" t="s">
        <v>18</v>
      </c>
    </row>
    <row r="1474" spans="1:9" ht="46.8">
      <c r="A1474" s="29">
        <v>648599</v>
      </c>
      <c r="B1474" s="8" t="s">
        <v>249</v>
      </c>
      <c r="C1474" s="35" t="s">
        <v>2699</v>
      </c>
      <c r="D1474" s="12"/>
      <c r="E1474" s="26" t="s">
        <v>14</v>
      </c>
      <c r="F1474" s="12"/>
      <c r="G1474" s="12"/>
      <c r="H1474" s="33">
        <v>21</v>
      </c>
      <c r="I1474" s="14" t="s">
        <v>18</v>
      </c>
    </row>
    <row r="1475" spans="1:9" ht="31.2">
      <c r="A1475" s="29">
        <v>648600</v>
      </c>
      <c r="B1475" s="8" t="s">
        <v>249</v>
      </c>
      <c r="C1475" s="16" t="s">
        <v>2700</v>
      </c>
      <c r="D1475" s="12"/>
      <c r="E1475" s="26" t="s">
        <v>14</v>
      </c>
      <c r="F1475" s="12"/>
      <c r="G1475" s="12"/>
      <c r="H1475" s="33">
        <v>21</v>
      </c>
      <c r="I1475" s="14" t="s">
        <v>15</v>
      </c>
    </row>
    <row r="1476" spans="1:9" ht="46.8">
      <c r="A1476" s="29">
        <v>648601</v>
      </c>
      <c r="B1476" s="8" t="s">
        <v>249</v>
      </c>
      <c r="C1476" s="16" t="s">
        <v>2701</v>
      </c>
      <c r="D1476" s="12"/>
      <c r="E1476" s="26" t="s">
        <v>14</v>
      </c>
      <c r="F1476" s="12"/>
      <c r="G1476" s="12"/>
      <c r="H1476" s="33">
        <v>21</v>
      </c>
      <c r="I1476" s="14" t="s">
        <v>15</v>
      </c>
    </row>
    <row r="1477" spans="1:9" ht="31.2">
      <c r="A1477" s="29">
        <v>648602</v>
      </c>
      <c r="B1477" s="8" t="s">
        <v>249</v>
      </c>
      <c r="C1477" s="35" t="s">
        <v>2702</v>
      </c>
      <c r="D1477" s="12"/>
      <c r="E1477" s="26" t="s">
        <v>14</v>
      </c>
      <c r="F1477" s="12"/>
      <c r="G1477" s="12"/>
      <c r="H1477" s="33">
        <v>21</v>
      </c>
      <c r="I1477" s="14" t="s">
        <v>18</v>
      </c>
    </row>
    <row r="1478" spans="1:9" ht="46.8">
      <c r="A1478" s="29">
        <v>648603</v>
      </c>
      <c r="B1478" s="8" t="s">
        <v>249</v>
      </c>
      <c r="C1478" s="35" t="s">
        <v>2703</v>
      </c>
      <c r="D1478" s="12"/>
      <c r="E1478" s="26" t="s">
        <v>14</v>
      </c>
      <c r="F1478" s="12"/>
      <c r="G1478" s="12"/>
      <c r="H1478" s="33">
        <v>21</v>
      </c>
      <c r="I1478" s="14" t="s">
        <v>18</v>
      </c>
    </row>
    <row r="1479" spans="1:9" ht="46.8">
      <c r="A1479" s="29">
        <v>648604</v>
      </c>
      <c r="B1479" s="8" t="s">
        <v>249</v>
      </c>
      <c r="C1479" s="35" t="s">
        <v>2704</v>
      </c>
      <c r="D1479" s="12"/>
      <c r="E1479" s="26" t="s">
        <v>14</v>
      </c>
      <c r="F1479" s="12"/>
      <c r="G1479" s="12"/>
      <c r="H1479" s="33">
        <v>21</v>
      </c>
      <c r="I1479" s="14" t="s">
        <v>18</v>
      </c>
    </row>
    <row r="1480" spans="1:9" ht="31.2">
      <c r="A1480" s="8">
        <v>648611</v>
      </c>
      <c r="B1480" s="8" t="s">
        <v>249</v>
      </c>
      <c r="C1480" s="54" t="str">
        <f>HYPERLINK("https://catalog.archives.gov/search?q=*:*&amp;f.ancestorNaIds=648611&amp;sort=naIdSort%20asc","Petitions for Naturalization, Iowa (Linn County), 1891 - 1947")</f>
        <v>Petitions for Naturalization, Iowa (Linn County), 1891 - 1947</v>
      </c>
      <c r="D1480" s="12"/>
      <c r="E1480" s="12"/>
      <c r="F1480" s="31" t="str">
        <f>HYPERLINK("https://www.familysearch.org/search/catalog/2820312","FamilySearch.org")</f>
        <v>FamilySearch.org</v>
      </c>
      <c r="G1480" s="12"/>
      <c r="H1480" s="8">
        <v>21</v>
      </c>
      <c r="I1480" s="23" t="s">
        <v>18</v>
      </c>
    </row>
    <row r="1481" spans="1:9" ht="46.8">
      <c r="A1481" s="8">
        <v>648758</v>
      </c>
      <c r="B1481" s="8" t="s">
        <v>249</v>
      </c>
      <c r="C1481" s="37" t="s">
        <v>2705</v>
      </c>
      <c r="D1481" s="12"/>
      <c r="E1481" s="12"/>
      <c r="F1481" s="31" t="str">
        <f t="shared" ref="F1481:F1482" si="49">HYPERLINK("https://www.familysearch.org/search/catalog/2820313","FamilySearch.org")</f>
        <v>FamilySearch.org</v>
      </c>
      <c r="G1481" s="12"/>
      <c r="H1481" s="8">
        <v>21</v>
      </c>
      <c r="I1481" s="7" t="s">
        <v>15</v>
      </c>
    </row>
    <row r="1482" spans="1:9" ht="46.8">
      <c r="A1482" s="8">
        <v>648771</v>
      </c>
      <c r="B1482" s="8" t="s">
        <v>249</v>
      </c>
      <c r="C1482" s="37" t="s">
        <v>2706</v>
      </c>
      <c r="D1482" s="12"/>
      <c r="E1482" s="12"/>
      <c r="F1482" s="31" t="str">
        <f t="shared" si="49"/>
        <v>FamilySearch.org</v>
      </c>
      <c r="G1482" s="12"/>
      <c r="H1482" s="8">
        <v>21</v>
      </c>
      <c r="I1482" s="7" t="s">
        <v>15</v>
      </c>
    </row>
    <row r="1483" spans="1:9" ht="46.8">
      <c r="A1483" s="8">
        <v>648874</v>
      </c>
      <c r="B1483" s="8" t="s">
        <v>249</v>
      </c>
      <c r="C1483" s="54" t="str">
        <f>HYPERLINK("https://catalog.archives.gov/search?q=*:*&amp;f.ancestorNaIds=648874&amp;sort=naIdSort%20asc","Declarations of Intention for Citizenship, Iowa (Central (Des Moines) Division of the Southern District), 1915 - 1988")</f>
        <v>Declarations of Intention for Citizenship, Iowa (Central (Des Moines) Division of the Southern District), 1915 - 1988</v>
      </c>
      <c r="D1483" s="12"/>
      <c r="E1483" s="12"/>
      <c r="F1483" s="31" t="str">
        <f t="shared" ref="F1483:F1484" si="50">HYPERLINK("https://www.familysearch.org/search/catalog/2820314","FamilySearch.org")</f>
        <v>FamilySearch.org</v>
      </c>
      <c r="G1483" s="12"/>
      <c r="H1483" s="8">
        <v>21</v>
      </c>
      <c r="I1483" s="23" t="s">
        <v>18</v>
      </c>
    </row>
    <row r="1484" spans="1:9" ht="46.8">
      <c r="A1484" s="8">
        <v>648896</v>
      </c>
      <c r="B1484" s="8" t="s">
        <v>249</v>
      </c>
      <c r="C1484" s="37" t="s">
        <v>2707</v>
      </c>
      <c r="D1484" s="12"/>
      <c r="E1484" s="12"/>
      <c r="F1484" s="31" t="str">
        <f t="shared" si="50"/>
        <v>FamilySearch.org</v>
      </c>
      <c r="G1484" s="12"/>
      <c r="H1484" s="8">
        <v>21</v>
      </c>
      <c r="I1484" s="7" t="s">
        <v>15</v>
      </c>
    </row>
    <row r="1485" spans="1:9" ht="46.8">
      <c r="A1485" s="8">
        <v>648907</v>
      </c>
      <c r="B1485" s="8" t="s">
        <v>249</v>
      </c>
      <c r="C1485" s="37" t="s">
        <v>2708</v>
      </c>
      <c r="D1485" s="12"/>
      <c r="E1485" s="12"/>
      <c r="F1485" s="31" t="str">
        <f t="shared" ref="F1485:F1486" si="51">HYPERLINK("https://www.familysearch.org/search/catalog/2820315","FamilySearch.org")</f>
        <v>FamilySearch.org</v>
      </c>
      <c r="G1485" s="12"/>
      <c r="H1485" s="8">
        <v>21</v>
      </c>
      <c r="I1485" s="7" t="s">
        <v>15</v>
      </c>
    </row>
    <row r="1486" spans="1:9" ht="46.8">
      <c r="A1486" s="8">
        <v>648909</v>
      </c>
      <c r="B1486" s="8" t="s">
        <v>249</v>
      </c>
      <c r="C1486" s="37" t="s">
        <v>2709</v>
      </c>
      <c r="D1486" s="12"/>
      <c r="E1486" s="12"/>
      <c r="F1486" s="31" t="str">
        <f t="shared" si="51"/>
        <v>FamilySearch.org</v>
      </c>
      <c r="G1486" s="12"/>
      <c r="H1486" s="8">
        <v>21</v>
      </c>
      <c r="I1486" s="7" t="s">
        <v>15</v>
      </c>
    </row>
    <row r="1487" spans="1:9" ht="46.8">
      <c r="A1487" s="8">
        <v>648914</v>
      </c>
      <c r="B1487" s="8" t="s">
        <v>249</v>
      </c>
      <c r="C1487" s="37" t="s">
        <v>2710</v>
      </c>
      <c r="D1487" s="12"/>
      <c r="E1487" s="12"/>
      <c r="F1487" s="31" t="str">
        <f>HYPERLINK("https://www.familysearch.org/search/catalog/2820316","FamilySearch.org")</f>
        <v>FamilySearch.org</v>
      </c>
      <c r="G1487" s="12"/>
      <c r="H1487" s="8">
        <v>21</v>
      </c>
      <c r="I1487" s="7" t="s">
        <v>15</v>
      </c>
    </row>
    <row r="1488" spans="1:9" ht="46.8">
      <c r="A1488" s="29">
        <v>649146</v>
      </c>
      <c r="B1488" s="8" t="s">
        <v>249</v>
      </c>
      <c r="C1488" s="35" t="s">
        <v>2711</v>
      </c>
      <c r="D1488" s="12"/>
      <c r="E1488" s="26" t="s">
        <v>14</v>
      </c>
      <c r="F1488" s="12"/>
      <c r="G1488" s="12"/>
      <c r="H1488" s="33">
        <v>21</v>
      </c>
      <c r="I1488" s="14" t="s">
        <v>18</v>
      </c>
    </row>
    <row r="1489" spans="1:9" ht="46.8">
      <c r="A1489" s="29">
        <v>649147</v>
      </c>
      <c r="B1489" s="8" t="s">
        <v>249</v>
      </c>
      <c r="C1489" s="35" t="s">
        <v>2712</v>
      </c>
      <c r="D1489" s="12"/>
      <c r="E1489" s="26" t="s">
        <v>14</v>
      </c>
      <c r="F1489" s="12"/>
      <c r="G1489" s="12"/>
      <c r="H1489" s="33">
        <v>21</v>
      </c>
      <c r="I1489" s="14" t="s">
        <v>18</v>
      </c>
    </row>
    <row r="1490" spans="1:9" ht="46.8">
      <c r="A1490" s="29">
        <v>649150</v>
      </c>
      <c r="B1490" s="8" t="s">
        <v>249</v>
      </c>
      <c r="C1490" s="16" t="s">
        <v>2713</v>
      </c>
      <c r="D1490" s="12"/>
      <c r="E1490" s="26" t="s">
        <v>14</v>
      </c>
      <c r="F1490" s="12"/>
      <c r="G1490" s="12"/>
      <c r="H1490" s="33">
        <v>21</v>
      </c>
      <c r="I1490" s="14" t="s">
        <v>15</v>
      </c>
    </row>
    <row r="1491" spans="1:9" ht="31.2">
      <c r="A1491" s="29">
        <v>649183</v>
      </c>
      <c r="B1491" s="8" t="s">
        <v>249</v>
      </c>
      <c r="C1491" s="16" t="s">
        <v>2714</v>
      </c>
      <c r="D1491" s="12"/>
      <c r="E1491" s="12"/>
      <c r="F1491" s="32" t="s">
        <v>43</v>
      </c>
      <c r="G1491" s="12"/>
      <c r="H1491" s="33">
        <v>21</v>
      </c>
      <c r="I1491" s="14" t="s">
        <v>15</v>
      </c>
    </row>
    <row r="1492" spans="1:9" ht="31.2">
      <c r="A1492" s="29">
        <v>649217</v>
      </c>
      <c r="B1492" s="8" t="s">
        <v>249</v>
      </c>
      <c r="C1492" s="16" t="s">
        <v>2715</v>
      </c>
      <c r="D1492" s="12"/>
      <c r="E1492" s="12"/>
      <c r="F1492" s="32" t="s">
        <v>43</v>
      </c>
      <c r="G1492" s="12"/>
      <c r="H1492" s="33">
        <v>21</v>
      </c>
      <c r="I1492" s="14" t="s">
        <v>15</v>
      </c>
    </row>
    <row r="1493" spans="1:9" ht="46.8">
      <c r="A1493" s="29">
        <v>649271</v>
      </c>
      <c r="B1493" s="8" t="s">
        <v>249</v>
      </c>
      <c r="C1493" s="16" t="s">
        <v>2716</v>
      </c>
      <c r="D1493" s="12"/>
      <c r="E1493" s="12"/>
      <c r="F1493" s="32" t="s">
        <v>43</v>
      </c>
      <c r="G1493" s="12"/>
      <c r="H1493" s="33">
        <v>21</v>
      </c>
      <c r="I1493" s="14" t="s">
        <v>15</v>
      </c>
    </row>
    <row r="1494" spans="1:9" ht="46.8">
      <c r="A1494" s="8">
        <v>649315</v>
      </c>
      <c r="B1494" s="8" t="s">
        <v>249</v>
      </c>
      <c r="C1494" s="37" t="s">
        <v>2717</v>
      </c>
      <c r="D1494" s="12"/>
      <c r="E1494" s="12"/>
      <c r="F1494" s="31" t="str">
        <f>HYPERLINK("https://www.familysearch.org/search/catalog/2820316","FamilySearch.org")</f>
        <v>FamilySearch.org</v>
      </c>
      <c r="G1494" s="12"/>
      <c r="H1494" s="8">
        <v>21</v>
      </c>
      <c r="I1494" s="7" t="s">
        <v>15</v>
      </c>
    </row>
    <row r="1495" spans="1:9" ht="46.8">
      <c r="A1495" s="8">
        <v>649329</v>
      </c>
      <c r="B1495" s="8" t="s">
        <v>249</v>
      </c>
      <c r="C1495" s="37" t="s">
        <v>2718</v>
      </c>
      <c r="D1495" s="12"/>
      <c r="E1495" s="12"/>
      <c r="F1495" s="31" t="str">
        <f t="shared" ref="F1495:F1496" si="52">HYPERLINK("https://www.familysearch.org/search/catalog/2820318","FamilySearch.org")</f>
        <v>FamilySearch.org</v>
      </c>
      <c r="G1495" s="12"/>
      <c r="H1495" s="8">
        <v>21</v>
      </c>
      <c r="I1495" s="7" t="s">
        <v>15</v>
      </c>
    </row>
    <row r="1496" spans="1:9" ht="46.8">
      <c r="A1496" s="8">
        <v>649333</v>
      </c>
      <c r="B1496" s="8" t="s">
        <v>249</v>
      </c>
      <c r="C1496" s="37" t="s">
        <v>2719</v>
      </c>
      <c r="D1496" s="12"/>
      <c r="E1496" s="12"/>
      <c r="F1496" s="31" t="str">
        <f t="shared" si="52"/>
        <v>FamilySearch.org</v>
      </c>
      <c r="G1496" s="12"/>
      <c r="H1496" s="8">
        <v>21</v>
      </c>
      <c r="I1496" s="7" t="s">
        <v>15</v>
      </c>
    </row>
    <row r="1497" spans="1:9" ht="46.8">
      <c r="A1497" s="8">
        <v>649351</v>
      </c>
      <c r="B1497" s="8" t="s">
        <v>249</v>
      </c>
      <c r="C1497" s="37" t="s">
        <v>2720</v>
      </c>
      <c r="D1497" s="12"/>
      <c r="E1497" s="12"/>
      <c r="F1497" s="31" t="str">
        <f t="shared" ref="F1497:F1498" si="53">HYPERLINK("https://www.familysearch.org/search/catalog/2820319","FamilySearch.org")</f>
        <v>FamilySearch.org</v>
      </c>
      <c r="G1497" s="12"/>
      <c r="H1497" s="8">
        <v>21</v>
      </c>
      <c r="I1497" s="7" t="s">
        <v>15</v>
      </c>
    </row>
    <row r="1498" spans="1:9" ht="31.2">
      <c r="A1498" s="8">
        <v>649355</v>
      </c>
      <c r="B1498" s="8" t="s">
        <v>249</v>
      </c>
      <c r="C1498" s="37" t="s">
        <v>2721</v>
      </c>
      <c r="D1498" s="12"/>
      <c r="E1498" s="12"/>
      <c r="F1498" s="31" t="str">
        <f t="shared" si="53"/>
        <v>FamilySearch.org</v>
      </c>
      <c r="G1498" s="12"/>
      <c r="H1498" s="8">
        <v>21</v>
      </c>
      <c r="I1498" s="7" t="s">
        <v>15</v>
      </c>
    </row>
    <row r="1499" spans="1:9" ht="46.8">
      <c r="A1499" s="8">
        <v>649357</v>
      </c>
      <c r="B1499" s="8" t="s">
        <v>249</v>
      </c>
      <c r="C1499" s="37" t="s">
        <v>2722</v>
      </c>
      <c r="D1499" s="12"/>
      <c r="E1499" s="12"/>
      <c r="F1499" s="31" t="str">
        <f>HYPERLINK("https://www.familysearch.org/search/catalog/2820320","FamilySearch.org")</f>
        <v>FamilySearch.org</v>
      </c>
      <c r="G1499" s="12"/>
      <c r="H1499" s="8">
        <v>21</v>
      </c>
      <c r="I1499" s="7" t="s">
        <v>15</v>
      </c>
    </row>
    <row r="1500" spans="1:9" ht="31.2">
      <c r="A1500" s="29">
        <v>649608</v>
      </c>
      <c r="B1500" s="8" t="s">
        <v>249</v>
      </c>
      <c r="C1500" s="16" t="s">
        <v>2723</v>
      </c>
      <c r="D1500" s="32" t="s">
        <v>220</v>
      </c>
      <c r="E1500" s="12"/>
      <c r="F1500" s="12"/>
      <c r="G1500" s="12"/>
      <c r="H1500" s="33">
        <v>120</v>
      </c>
      <c r="I1500" s="14" t="s">
        <v>15</v>
      </c>
    </row>
    <row r="1501" spans="1:9" ht="46.8">
      <c r="A1501" s="8">
        <v>649771</v>
      </c>
      <c r="B1501" s="8" t="s">
        <v>249</v>
      </c>
      <c r="C1501" s="37" t="s">
        <v>2724</v>
      </c>
      <c r="D1501" s="12"/>
      <c r="E1501" s="12"/>
      <c r="F1501" s="31" t="str">
        <f>HYPERLINK("https://www.familysearch.org/search/catalog/2820320","FamilySearch.org")</f>
        <v>FamilySearch.org</v>
      </c>
      <c r="G1501" s="12"/>
      <c r="H1501" s="8">
        <v>21</v>
      </c>
      <c r="I1501" s="7" t="s">
        <v>15</v>
      </c>
    </row>
    <row r="1502" spans="1:9" ht="46.8">
      <c r="A1502" s="8">
        <v>649780</v>
      </c>
      <c r="B1502" s="8" t="s">
        <v>249</v>
      </c>
      <c r="C1502" s="37" t="s">
        <v>2725</v>
      </c>
      <c r="D1502" s="12"/>
      <c r="E1502" s="12"/>
      <c r="F1502" s="31" t="str">
        <f t="shared" ref="F1502:F1503" si="54">HYPERLINK("https://www.familysearch.org/search/catalog/2820321","FamilySearch.org")</f>
        <v>FamilySearch.org</v>
      </c>
      <c r="G1502" s="12"/>
      <c r="H1502" s="8">
        <v>21</v>
      </c>
      <c r="I1502" s="7" t="s">
        <v>15</v>
      </c>
    </row>
    <row r="1503" spans="1:9" ht="46.8">
      <c r="A1503" s="8">
        <v>649936</v>
      </c>
      <c r="B1503" s="8" t="s">
        <v>249</v>
      </c>
      <c r="C1503" s="37" t="s">
        <v>2726</v>
      </c>
      <c r="D1503" s="12"/>
      <c r="E1503" s="12"/>
      <c r="F1503" s="31" t="str">
        <f t="shared" si="54"/>
        <v>FamilySearch.org</v>
      </c>
      <c r="G1503" s="12"/>
      <c r="H1503" s="8">
        <v>21</v>
      </c>
      <c r="I1503" s="7" t="s">
        <v>15</v>
      </c>
    </row>
    <row r="1504" spans="1:9" ht="31.2">
      <c r="A1504" s="29">
        <v>650854</v>
      </c>
      <c r="B1504" s="8" t="s">
        <v>249</v>
      </c>
      <c r="C1504" s="35" t="s">
        <v>2727</v>
      </c>
      <c r="D1504" s="12"/>
      <c r="E1504" s="26" t="s">
        <v>14</v>
      </c>
      <c r="F1504" s="12"/>
      <c r="G1504" s="12"/>
      <c r="H1504" s="33">
        <v>21</v>
      </c>
      <c r="I1504" s="23" t="s">
        <v>18</v>
      </c>
    </row>
    <row r="1505" spans="1:9" ht="31.2">
      <c r="A1505" s="29">
        <v>654719</v>
      </c>
      <c r="B1505" s="8" t="s">
        <v>249</v>
      </c>
      <c r="C1505" s="16" t="s">
        <v>2728</v>
      </c>
      <c r="D1505" s="32" t="s">
        <v>220</v>
      </c>
      <c r="E1505" s="12"/>
      <c r="F1505" s="12"/>
      <c r="G1505" s="12"/>
      <c r="H1505" s="33">
        <v>94</v>
      </c>
      <c r="I1505" s="14" t="s">
        <v>15</v>
      </c>
    </row>
    <row r="1506" spans="1:9" ht="31.2">
      <c r="A1506" s="8">
        <v>655657</v>
      </c>
      <c r="B1506" s="8" t="s">
        <v>249</v>
      </c>
      <c r="C1506" s="37" t="s">
        <v>2729</v>
      </c>
      <c r="D1506" s="12"/>
      <c r="E1506" s="12"/>
      <c r="F1506" s="31" t="str">
        <f>HYPERLINK("https://www.familysearch.org/search/catalog/2785364","FamilySearch.org")</f>
        <v>FamilySearch.org</v>
      </c>
      <c r="G1506" s="12"/>
      <c r="H1506" s="8">
        <v>21</v>
      </c>
      <c r="I1506" s="7" t="s">
        <v>15</v>
      </c>
    </row>
    <row r="1507" spans="1:9" ht="15.6">
      <c r="A1507" s="29">
        <v>656399</v>
      </c>
      <c r="B1507" s="8" t="s">
        <v>249</v>
      </c>
      <c r="C1507" s="35" t="s">
        <v>2730</v>
      </c>
      <c r="D1507" s="12"/>
      <c r="E1507" s="26" t="s">
        <v>14</v>
      </c>
      <c r="F1507" s="12"/>
      <c r="G1507" s="12"/>
      <c r="H1507" s="33">
        <v>142</v>
      </c>
      <c r="I1507" s="23" t="s">
        <v>11</v>
      </c>
    </row>
    <row r="1508" spans="1:9" ht="31.2">
      <c r="A1508" s="29">
        <v>656639</v>
      </c>
      <c r="B1508" s="8" t="s">
        <v>249</v>
      </c>
      <c r="C1508" s="49" t="s">
        <v>2731</v>
      </c>
      <c r="D1508" s="12"/>
      <c r="E1508" s="26" t="s">
        <v>14</v>
      </c>
      <c r="F1508" s="12"/>
      <c r="G1508" s="12"/>
      <c r="H1508" s="33">
        <v>94</v>
      </c>
      <c r="I1508" s="23" t="s">
        <v>11</v>
      </c>
    </row>
    <row r="1509" spans="1:9" ht="31.2">
      <c r="A1509" s="29">
        <v>656701</v>
      </c>
      <c r="B1509" s="8" t="s">
        <v>249</v>
      </c>
      <c r="C1509" s="35" t="s">
        <v>2732</v>
      </c>
      <c r="D1509" s="12"/>
      <c r="E1509" s="26" t="s">
        <v>14</v>
      </c>
      <c r="F1509" s="12"/>
      <c r="G1509" s="12"/>
      <c r="H1509" s="33">
        <v>142</v>
      </c>
      <c r="I1509" s="23" t="s">
        <v>18</v>
      </c>
    </row>
    <row r="1510" spans="1:9" ht="31.2">
      <c r="A1510" s="8">
        <v>656725</v>
      </c>
      <c r="B1510" s="8" t="s">
        <v>249</v>
      </c>
      <c r="C1510" s="37" t="s">
        <v>2733</v>
      </c>
      <c r="D1510" s="12"/>
      <c r="E1510" s="12"/>
      <c r="F1510" s="12"/>
      <c r="G1510" s="78" t="s">
        <v>2505</v>
      </c>
      <c r="H1510" s="8">
        <v>21</v>
      </c>
      <c r="I1510" s="14" t="s">
        <v>15</v>
      </c>
    </row>
    <row r="1511" spans="1:9" ht="31.2">
      <c r="A1511" s="8">
        <v>656862</v>
      </c>
      <c r="B1511" s="8" t="s">
        <v>249</v>
      </c>
      <c r="C1511" s="37" t="s">
        <v>2734</v>
      </c>
      <c r="D1511" s="12"/>
      <c r="E1511" s="12"/>
      <c r="F1511" s="12"/>
      <c r="G1511" s="78" t="s">
        <v>2505</v>
      </c>
      <c r="H1511" s="8">
        <v>21</v>
      </c>
      <c r="I1511" s="14" t="s">
        <v>15</v>
      </c>
    </row>
    <row r="1512" spans="1:9" ht="31.2">
      <c r="A1512" s="29">
        <v>718990</v>
      </c>
      <c r="B1512" s="8" t="s">
        <v>249</v>
      </c>
      <c r="C1512" s="16" t="s">
        <v>2735</v>
      </c>
      <c r="D1512" s="12"/>
      <c r="E1512" s="26" t="s">
        <v>14</v>
      </c>
      <c r="F1512" s="12"/>
      <c r="G1512" s="12"/>
      <c r="H1512" s="33">
        <v>21</v>
      </c>
      <c r="I1512" s="14" t="s">
        <v>15</v>
      </c>
    </row>
    <row r="1513" spans="1:9" ht="46.8">
      <c r="A1513" s="29">
        <v>719198</v>
      </c>
      <c r="B1513" s="8" t="s">
        <v>249</v>
      </c>
      <c r="C1513" s="35" t="s">
        <v>2736</v>
      </c>
      <c r="D1513" s="12"/>
      <c r="E1513" s="26" t="s">
        <v>14</v>
      </c>
      <c r="F1513" s="12"/>
      <c r="G1513" s="12"/>
      <c r="H1513" s="33">
        <v>21</v>
      </c>
      <c r="I1513" s="23" t="s">
        <v>11</v>
      </c>
    </row>
    <row r="1514" spans="1:9" ht="46.8">
      <c r="A1514" s="29">
        <v>720245</v>
      </c>
      <c r="B1514" s="8" t="s">
        <v>249</v>
      </c>
      <c r="C1514" s="16" t="s">
        <v>2737</v>
      </c>
      <c r="D1514" s="12"/>
      <c r="E1514" s="12"/>
      <c r="F1514" s="32" t="s">
        <v>43</v>
      </c>
      <c r="G1514" s="12"/>
      <c r="H1514" s="33">
        <v>21</v>
      </c>
      <c r="I1514" s="14" t="s">
        <v>15</v>
      </c>
    </row>
    <row r="1515" spans="1:9" ht="31.2">
      <c r="A1515" s="29">
        <v>721447</v>
      </c>
      <c r="B1515" s="8" t="s">
        <v>249</v>
      </c>
      <c r="C1515" s="35" t="s">
        <v>2738</v>
      </c>
      <c r="D1515" s="12"/>
      <c r="E1515" s="26" t="s">
        <v>14</v>
      </c>
      <c r="F1515" s="12"/>
      <c r="G1515" s="12"/>
      <c r="H1515" s="33">
        <v>75</v>
      </c>
      <c r="I1515" s="14" t="s">
        <v>11</v>
      </c>
    </row>
    <row r="1516" spans="1:9" ht="31.2">
      <c r="A1516" s="29">
        <v>731194</v>
      </c>
      <c r="B1516" s="8" t="s">
        <v>249</v>
      </c>
      <c r="C1516" s="35" t="s">
        <v>2739</v>
      </c>
      <c r="D1516" s="12"/>
      <c r="E1516" s="26" t="s">
        <v>14</v>
      </c>
      <c r="F1516" s="12"/>
      <c r="G1516" s="12"/>
      <c r="H1516" s="33">
        <v>21</v>
      </c>
      <c r="I1516" s="14" t="s">
        <v>18</v>
      </c>
    </row>
    <row r="1517" spans="1:9" ht="31.2">
      <c r="A1517" s="29">
        <v>731200</v>
      </c>
      <c r="B1517" s="8" t="s">
        <v>249</v>
      </c>
      <c r="C1517" s="35" t="s">
        <v>2740</v>
      </c>
      <c r="D1517" s="12"/>
      <c r="E1517" s="26" t="s">
        <v>14</v>
      </c>
      <c r="F1517" s="12"/>
      <c r="G1517" s="12"/>
      <c r="H1517" s="33">
        <v>21</v>
      </c>
      <c r="I1517" s="14" t="s">
        <v>11</v>
      </c>
    </row>
    <row r="1518" spans="1:9" ht="31.2">
      <c r="A1518" s="29">
        <v>731206</v>
      </c>
      <c r="B1518" s="8" t="s">
        <v>249</v>
      </c>
      <c r="C1518" s="35" t="s">
        <v>2741</v>
      </c>
      <c r="D1518" s="12"/>
      <c r="E1518" s="26" t="s">
        <v>14</v>
      </c>
      <c r="F1518" s="12"/>
      <c r="G1518" s="12"/>
      <c r="H1518" s="33">
        <v>21</v>
      </c>
      <c r="I1518" s="14" t="s">
        <v>11</v>
      </c>
    </row>
    <row r="1519" spans="1:9" ht="31.2">
      <c r="A1519" s="29">
        <v>731210</v>
      </c>
      <c r="B1519" s="8" t="s">
        <v>249</v>
      </c>
      <c r="C1519" s="35" t="s">
        <v>2742</v>
      </c>
      <c r="D1519" s="12"/>
      <c r="E1519" s="26" t="s">
        <v>14</v>
      </c>
      <c r="F1519" s="12"/>
      <c r="G1519" s="12"/>
      <c r="H1519" s="33">
        <v>21</v>
      </c>
      <c r="I1519" s="14" t="s">
        <v>18</v>
      </c>
    </row>
    <row r="1520" spans="1:9" ht="31.2">
      <c r="A1520" s="29">
        <v>731222</v>
      </c>
      <c r="B1520" s="8" t="s">
        <v>249</v>
      </c>
      <c r="C1520" s="83" t="s">
        <v>2743</v>
      </c>
      <c r="D1520" s="12"/>
      <c r="E1520" s="26" t="s">
        <v>14</v>
      </c>
      <c r="F1520" s="12"/>
      <c r="G1520" s="12"/>
      <c r="H1520" s="33">
        <v>21</v>
      </c>
      <c r="I1520" s="14" t="s">
        <v>18</v>
      </c>
    </row>
    <row r="1521" spans="1:9" ht="46.8">
      <c r="A1521" s="29">
        <v>731229</v>
      </c>
      <c r="B1521" s="8" t="s">
        <v>249</v>
      </c>
      <c r="C1521" s="16" t="s">
        <v>2744</v>
      </c>
      <c r="D1521" s="12"/>
      <c r="E1521" s="26" t="s">
        <v>14</v>
      </c>
      <c r="F1521" s="12"/>
      <c r="G1521" s="12"/>
      <c r="H1521" s="33">
        <v>21</v>
      </c>
      <c r="I1521" s="14" t="s">
        <v>15</v>
      </c>
    </row>
    <row r="1522" spans="1:9" ht="31.2">
      <c r="A1522" s="29">
        <v>731235</v>
      </c>
      <c r="B1522" s="8" t="s">
        <v>249</v>
      </c>
      <c r="C1522" s="35" t="s">
        <v>2745</v>
      </c>
      <c r="D1522" s="12"/>
      <c r="E1522" s="26" t="s">
        <v>14</v>
      </c>
      <c r="F1522" s="12"/>
      <c r="G1522" s="12"/>
      <c r="H1522" s="33">
        <v>21</v>
      </c>
      <c r="I1522" s="14" t="s">
        <v>11</v>
      </c>
    </row>
    <row r="1523" spans="1:9" ht="31.2">
      <c r="A1523" s="29">
        <v>731276</v>
      </c>
      <c r="B1523" s="8" t="s">
        <v>249</v>
      </c>
      <c r="C1523" s="35" t="s">
        <v>2746</v>
      </c>
      <c r="D1523" s="12"/>
      <c r="E1523" s="26" t="s">
        <v>14</v>
      </c>
      <c r="F1523" s="12"/>
      <c r="G1523" s="12"/>
      <c r="H1523" s="33">
        <v>21</v>
      </c>
      <c r="I1523" s="14" t="s">
        <v>11</v>
      </c>
    </row>
    <row r="1524" spans="1:9" ht="46.8">
      <c r="A1524" s="8">
        <v>731293</v>
      </c>
      <c r="B1524" s="8" t="s">
        <v>249</v>
      </c>
      <c r="C1524" s="37" t="s">
        <v>2747</v>
      </c>
      <c r="D1524" s="12"/>
      <c r="E1524" s="12"/>
      <c r="F1524" s="31" t="str">
        <f>HYPERLINK("https://www.familysearch.org/wiki/en/Alaska,_Naturalization_Records_-_FamilySearch_Historical_Records","FamilySearch.org")</f>
        <v>FamilySearch.org</v>
      </c>
      <c r="G1524" s="12"/>
      <c r="H1524" s="8">
        <v>21</v>
      </c>
      <c r="I1524" s="7" t="s">
        <v>15</v>
      </c>
    </row>
    <row r="1525" spans="1:9" ht="46.8">
      <c r="A1525" s="8">
        <v>733762</v>
      </c>
      <c r="B1525" s="8" t="s">
        <v>249</v>
      </c>
      <c r="C1525" s="37" t="s">
        <v>2748</v>
      </c>
      <c r="D1525" s="12"/>
      <c r="E1525" s="12"/>
      <c r="F1525" s="12"/>
      <c r="G1525" s="78" t="s">
        <v>2505</v>
      </c>
      <c r="H1525" s="8">
        <v>21</v>
      </c>
      <c r="I1525" s="14" t="s">
        <v>15</v>
      </c>
    </row>
    <row r="1526" spans="1:9" ht="46.8">
      <c r="A1526" s="8">
        <v>733763</v>
      </c>
      <c r="B1526" s="8" t="s">
        <v>249</v>
      </c>
      <c r="C1526" s="37" t="s">
        <v>2749</v>
      </c>
      <c r="D1526" s="12"/>
      <c r="E1526" s="12"/>
      <c r="F1526" s="12"/>
      <c r="G1526" s="78" t="s">
        <v>2505</v>
      </c>
      <c r="H1526" s="8">
        <v>21</v>
      </c>
      <c r="I1526" s="14" t="s">
        <v>15</v>
      </c>
    </row>
    <row r="1527" spans="1:9" ht="46.8">
      <c r="A1527" s="8">
        <v>782685</v>
      </c>
      <c r="B1527" s="8" t="s">
        <v>249</v>
      </c>
      <c r="C1527" s="37" t="s">
        <v>2750</v>
      </c>
      <c r="D1527" s="12"/>
      <c r="E1527" s="12"/>
      <c r="F1527" s="31" t="str">
        <f t="shared" ref="F1527:F1528" si="55">HYPERLINK("https://www.familysearch.org/search/catalog/3328312","FamilySearch.org")</f>
        <v>FamilySearch.org</v>
      </c>
      <c r="G1527" s="12"/>
      <c r="H1527" s="8">
        <v>21</v>
      </c>
      <c r="I1527" s="7" t="s">
        <v>15</v>
      </c>
    </row>
    <row r="1528" spans="1:9" ht="46.8">
      <c r="A1528" s="8">
        <v>782691</v>
      </c>
      <c r="B1528" s="8" t="s">
        <v>249</v>
      </c>
      <c r="C1528" s="37" t="s">
        <v>2751</v>
      </c>
      <c r="D1528" s="12"/>
      <c r="E1528" s="12"/>
      <c r="F1528" s="31" t="str">
        <f t="shared" si="55"/>
        <v>FamilySearch.org</v>
      </c>
      <c r="G1528" s="12"/>
      <c r="H1528" s="8">
        <v>21</v>
      </c>
      <c r="I1528" s="7" t="s">
        <v>15</v>
      </c>
    </row>
    <row r="1529" spans="1:9" ht="46.8">
      <c r="A1529" s="8">
        <v>782695</v>
      </c>
      <c r="B1529" s="8" t="s">
        <v>249</v>
      </c>
      <c r="C1529" s="37" t="s">
        <v>2752</v>
      </c>
      <c r="D1529" s="12"/>
      <c r="E1529" s="12"/>
      <c r="F1529" s="26" t="s">
        <v>43</v>
      </c>
      <c r="G1529" s="12"/>
      <c r="H1529" s="8">
        <v>21</v>
      </c>
      <c r="I1529" s="7" t="s">
        <v>15</v>
      </c>
    </row>
    <row r="1530" spans="1:9" ht="46.8">
      <c r="A1530" s="8">
        <v>782697</v>
      </c>
      <c r="B1530" s="8" t="s">
        <v>249</v>
      </c>
      <c r="C1530" s="37" t="s">
        <v>2753</v>
      </c>
      <c r="D1530" s="12"/>
      <c r="E1530" s="12"/>
      <c r="F1530" s="26" t="s">
        <v>43</v>
      </c>
      <c r="G1530" s="12"/>
      <c r="H1530" s="8">
        <v>21</v>
      </c>
      <c r="I1530" s="7" t="s">
        <v>15</v>
      </c>
    </row>
    <row r="1531" spans="1:9" ht="31.2">
      <c r="A1531" s="8">
        <v>782699</v>
      </c>
      <c r="B1531" s="8" t="s">
        <v>249</v>
      </c>
      <c r="C1531" s="37" t="s">
        <v>2754</v>
      </c>
      <c r="D1531" s="12"/>
      <c r="E1531" s="12"/>
      <c r="F1531" s="26" t="s">
        <v>43</v>
      </c>
      <c r="G1531" s="12"/>
      <c r="H1531" s="8">
        <v>21</v>
      </c>
      <c r="I1531" s="7" t="s">
        <v>15</v>
      </c>
    </row>
    <row r="1532" spans="1:9" ht="46.8">
      <c r="A1532" s="8">
        <v>782709</v>
      </c>
      <c r="B1532" s="8" t="s">
        <v>249</v>
      </c>
      <c r="C1532" s="37" t="s">
        <v>2755</v>
      </c>
      <c r="D1532" s="12"/>
      <c r="E1532" s="12"/>
      <c r="F1532" s="84" t="str">
        <f t="shared" ref="F1532:F1533" si="56">HYPERLINK("https://www.familysearch.org/wiki/en/Missouri_Naturalization_and_Citizenship","FamilySearch.org")</f>
        <v>FamilySearch.org</v>
      </c>
      <c r="G1532" s="12"/>
      <c r="H1532" s="8">
        <v>21</v>
      </c>
      <c r="I1532" s="7" t="s">
        <v>15</v>
      </c>
    </row>
    <row r="1533" spans="1:9" ht="46.8">
      <c r="A1533" s="8">
        <v>782710</v>
      </c>
      <c r="B1533" s="8" t="s">
        <v>249</v>
      </c>
      <c r="C1533" s="37" t="s">
        <v>2756</v>
      </c>
      <c r="D1533" s="12"/>
      <c r="E1533" s="12"/>
      <c r="F1533" s="31" t="str">
        <f t="shared" si="56"/>
        <v>FamilySearch.org</v>
      </c>
      <c r="G1533" s="12"/>
      <c r="H1533" s="8">
        <v>21</v>
      </c>
      <c r="I1533" s="7" t="s">
        <v>15</v>
      </c>
    </row>
    <row r="1534" spans="1:9" ht="31.2">
      <c r="A1534" s="8">
        <v>782712</v>
      </c>
      <c r="B1534" s="8" t="s">
        <v>249</v>
      </c>
      <c r="C1534" s="37" t="s">
        <v>2757</v>
      </c>
      <c r="D1534" s="12"/>
      <c r="E1534" s="12"/>
      <c r="F1534" s="17" t="s">
        <v>43</v>
      </c>
      <c r="G1534" s="12"/>
      <c r="H1534" s="8">
        <v>21</v>
      </c>
      <c r="I1534" s="7" t="s">
        <v>15</v>
      </c>
    </row>
    <row r="1535" spans="1:9" ht="46.8">
      <c r="A1535" s="8">
        <v>783994</v>
      </c>
      <c r="B1535" s="8" t="s">
        <v>249</v>
      </c>
      <c r="C1535" s="37" t="s">
        <v>2758</v>
      </c>
      <c r="D1535" s="12"/>
      <c r="E1535" s="12"/>
      <c r="F1535" s="31" t="str">
        <f>HYPERLINK("https://www.familysearch.org/search/catalog/437993","FamilySearch.org")</f>
        <v>FamilySearch.org</v>
      </c>
      <c r="G1535" s="12"/>
      <c r="H1535" s="8">
        <v>21</v>
      </c>
      <c r="I1535" s="7" t="s">
        <v>15</v>
      </c>
    </row>
    <row r="1536" spans="1:9" ht="46.8">
      <c r="A1536" s="8">
        <v>784009</v>
      </c>
      <c r="B1536" s="8" t="s">
        <v>249</v>
      </c>
      <c r="C1536" s="37" t="s">
        <v>2759</v>
      </c>
      <c r="D1536" s="12"/>
      <c r="E1536" s="12"/>
      <c r="F1536" s="26" t="s">
        <v>43</v>
      </c>
      <c r="G1536" s="12"/>
      <c r="H1536" s="8">
        <v>21</v>
      </c>
      <c r="I1536" s="7" t="s">
        <v>15</v>
      </c>
    </row>
    <row r="1537" spans="1:9" ht="46.8">
      <c r="A1537" s="8">
        <v>784032</v>
      </c>
      <c r="B1537" s="8" t="s">
        <v>249</v>
      </c>
      <c r="C1537" s="37" t="s">
        <v>2760</v>
      </c>
      <c r="D1537" s="12"/>
      <c r="E1537" s="12"/>
      <c r="F1537" s="31" t="str">
        <f t="shared" ref="F1537:F1538" si="57">HYPERLINK("https://www.familysearch.org/search/catalog/3328317","FamilySearch.org")</f>
        <v>FamilySearch.org</v>
      </c>
      <c r="G1537" s="12"/>
      <c r="H1537" s="8">
        <v>21</v>
      </c>
      <c r="I1537" s="7" t="s">
        <v>15</v>
      </c>
    </row>
    <row r="1538" spans="1:9" ht="46.8">
      <c r="A1538" s="8">
        <v>784034</v>
      </c>
      <c r="B1538" s="8" t="s">
        <v>249</v>
      </c>
      <c r="C1538" s="37" t="s">
        <v>2761</v>
      </c>
      <c r="D1538" s="12"/>
      <c r="E1538" s="12"/>
      <c r="F1538" s="31" t="str">
        <f t="shared" si="57"/>
        <v>FamilySearch.org</v>
      </c>
      <c r="G1538" s="12"/>
      <c r="H1538" s="8">
        <v>21</v>
      </c>
      <c r="I1538" s="7" t="s">
        <v>15</v>
      </c>
    </row>
    <row r="1539" spans="1:9" ht="46.8">
      <c r="A1539" s="8">
        <v>784112</v>
      </c>
      <c r="B1539" s="8" t="s">
        <v>249</v>
      </c>
      <c r="C1539" s="37" t="s">
        <v>2762</v>
      </c>
      <c r="D1539" s="12"/>
      <c r="E1539" s="12"/>
      <c r="F1539" s="31" t="str">
        <f>HYPERLINK("https://www.familysearch.org/search/catalog/2839273","FamilySearch.org")</f>
        <v>FamilySearch.org</v>
      </c>
      <c r="G1539" s="12"/>
      <c r="H1539" s="8">
        <v>21</v>
      </c>
      <c r="I1539" s="7" t="s">
        <v>15</v>
      </c>
    </row>
    <row r="1540" spans="1:9" ht="46.8">
      <c r="A1540" s="8">
        <v>784139</v>
      </c>
      <c r="B1540" s="8" t="s">
        <v>249</v>
      </c>
      <c r="C1540" s="37" t="s">
        <v>2763</v>
      </c>
      <c r="D1540" s="12"/>
      <c r="E1540" s="12"/>
      <c r="F1540" s="31" t="str">
        <f>HYPERLINK("https://www.familysearch.org/search/catalog/405029","FamilySearch.org")</f>
        <v>FamilySearch.org</v>
      </c>
      <c r="G1540" s="12"/>
      <c r="H1540" s="8">
        <v>21</v>
      </c>
      <c r="I1540" s="7" t="s">
        <v>15</v>
      </c>
    </row>
    <row r="1541" spans="1:9" ht="31.2">
      <c r="A1541" s="8">
        <v>784169</v>
      </c>
      <c r="B1541" s="8" t="s">
        <v>249</v>
      </c>
      <c r="C1541" s="80" t="s">
        <v>2764</v>
      </c>
      <c r="D1541" s="12"/>
      <c r="E1541" s="12"/>
      <c r="F1541" s="31" t="str">
        <f t="shared" ref="F1541:F1542" si="58">HYPERLINK("https://www.familysearch.org/search/catalog/2827672","FamilySearch.org")</f>
        <v>FamilySearch.org</v>
      </c>
      <c r="G1541" s="12"/>
      <c r="H1541" s="8">
        <v>21</v>
      </c>
      <c r="I1541" s="7" t="s">
        <v>15</v>
      </c>
    </row>
    <row r="1542" spans="1:9" ht="31.2">
      <c r="A1542" s="8">
        <v>784171</v>
      </c>
      <c r="B1542" s="8" t="s">
        <v>249</v>
      </c>
      <c r="C1542" s="80" t="s">
        <v>2765</v>
      </c>
      <c r="D1542" s="12"/>
      <c r="E1542" s="12"/>
      <c r="F1542" s="31" t="str">
        <f t="shared" si="58"/>
        <v>FamilySearch.org</v>
      </c>
      <c r="G1542" s="12"/>
      <c r="H1542" s="8">
        <v>21</v>
      </c>
      <c r="I1542" s="7" t="s">
        <v>15</v>
      </c>
    </row>
    <row r="1543" spans="1:9" ht="31.2">
      <c r="A1543" s="8">
        <v>784172</v>
      </c>
      <c r="B1543" s="8" t="s">
        <v>249</v>
      </c>
      <c r="C1543" s="80" t="s">
        <v>2766</v>
      </c>
      <c r="D1543" s="12"/>
      <c r="E1543" s="12"/>
      <c r="F1543" s="31" t="str">
        <f t="shared" ref="F1543:F1544" si="59">HYPERLINK("https://www.familysearch.org/search/catalog/2827673","FamilySearch.org")</f>
        <v>FamilySearch.org</v>
      </c>
      <c r="G1543" s="12"/>
      <c r="H1543" s="8">
        <v>21</v>
      </c>
      <c r="I1543" s="7" t="s">
        <v>15</v>
      </c>
    </row>
    <row r="1544" spans="1:9" ht="31.2">
      <c r="A1544" s="8">
        <v>784183</v>
      </c>
      <c r="B1544" s="8" t="s">
        <v>249</v>
      </c>
      <c r="C1544" s="37" t="s">
        <v>2767</v>
      </c>
      <c r="D1544" s="12"/>
      <c r="E1544" s="12"/>
      <c r="F1544" s="31" t="str">
        <f t="shared" si="59"/>
        <v>FamilySearch.org</v>
      </c>
      <c r="G1544" s="12"/>
      <c r="H1544" s="8">
        <v>21</v>
      </c>
      <c r="I1544" s="7" t="s">
        <v>15</v>
      </c>
    </row>
    <row r="1545" spans="1:9" ht="31.2">
      <c r="A1545" s="8">
        <v>784188</v>
      </c>
      <c r="B1545" s="8" t="s">
        <v>249</v>
      </c>
      <c r="C1545" s="37" t="s">
        <v>2768</v>
      </c>
      <c r="D1545" s="12"/>
      <c r="E1545" s="12"/>
      <c r="F1545" s="31" t="str">
        <f t="shared" ref="F1545:F1546" si="60">HYPERLINK("https://www.familysearch.org/search/catalog/2827675","FamilySearch.org")</f>
        <v>FamilySearch.org</v>
      </c>
      <c r="G1545" s="12"/>
      <c r="H1545" s="8">
        <v>21</v>
      </c>
      <c r="I1545" s="7" t="s">
        <v>15</v>
      </c>
    </row>
    <row r="1546" spans="1:9" ht="31.2">
      <c r="A1546" s="8">
        <v>784191</v>
      </c>
      <c r="B1546" s="8" t="s">
        <v>249</v>
      </c>
      <c r="C1546" s="80" t="s">
        <v>2769</v>
      </c>
      <c r="D1546" s="12"/>
      <c r="E1546" s="12"/>
      <c r="F1546" s="31" t="str">
        <f t="shared" si="60"/>
        <v>FamilySearch.org</v>
      </c>
      <c r="G1546" s="12"/>
      <c r="H1546" s="8">
        <v>21</v>
      </c>
      <c r="I1546" s="7" t="s">
        <v>15</v>
      </c>
    </row>
    <row r="1547" spans="1:9" ht="31.2">
      <c r="A1547" s="8">
        <v>784227</v>
      </c>
      <c r="B1547" s="8" t="s">
        <v>249</v>
      </c>
      <c r="C1547" s="80" t="s">
        <v>2770</v>
      </c>
      <c r="D1547" s="12"/>
      <c r="E1547" s="12"/>
      <c r="F1547" s="31" t="str">
        <f>HYPERLINK("https://www.familysearch.org/search/catalog/2827674","FamilySearch.org")</f>
        <v>FamilySearch.org</v>
      </c>
      <c r="G1547" s="12"/>
      <c r="H1547" s="8">
        <v>21</v>
      </c>
      <c r="I1547" s="7" t="s">
        <v>15</v>
      </c>
    </row>
    <row r="1548" spans="1:9" ht="31.2">
      <c r="A1548" s="8">
        <v>784231</v>
      </c>
      <c r="B1548" s="8" t="s">
        <v>249</v>
      </c>
      <c r="C1548" s="35" t="s">
        <v>2771</v>
      </c>
      <c r="D1548" s="12"/>
      <c r="E1548" s="12"/>
      <c r="F1548" s="31" t="str">
        <f t="shared" ref="F1548:F1549" si="61">HYPERLINK("https://www.familysearch.org/search/catalog/2827676","FamilySearch.org")</f>
        <v>FamilySearch.org</v>
      </c>
      <c r="G1548" s="12"/>
      <c r="H1548" s="8">
        <v>21</v>
      </c>
      <c r="I1548" s="15" t="s">
        <v>11</v>
      </c>
    </row>
    <row r="1549" spans="1:9" ht="31.2">
      <c r="A1549" s="8">
        <v>784354</v>
      </c>
      <c r="B1549" s="8" t="s">
        <v>249</v>
      </c>
      <c r="C1549" s="80" t="s">
        <v>2772</v>
      </c>
      <c r="D1549" s="12"/>
      <c r="E1549" s="12"/>
      <c r="F1549" s="31" t="str">
        <f t="shared" si="61"/>
        <v>FamilySearch.org</v>
      </c>
      <c r="G1549" s="12"/>
      <c r="H1549" s="8">
        <v>21</v>
      </c>
      <c r="I1549" s="7" t="s">
        <v>15</v>
      </c>
    </row>
    <row r="1550" spans="1:9" ht="31.2">
      <c r="A1550" s="8">
        <v>785571</v>
      </c>
      <c r="B1550" s="8" t="s">
        <v>249</v>
      </c>
      <c r="C1550" s="80" t="s">
        <v>2773</v>
      </c>
      <c r="D1550" s="12"/>
      <c r="E1550" s="12"/>
      <c r="F1550" s="31" t="str">
        <f>HYPERLINK("https://www.familysearch.org/search/catalog/2827674","FamilySearch.org")</f>
        <v>FamilySearch.org</v>
      </c>
      <c r="G1550" s="12"/>
      <c r="H1550" s="8">
        <v>21</v>
      </c>
      <c r="I1550" s="7" t="s">
        <v>15</v>
      </c>
    </row>
    <row r="1551" spans="1:9" ht="31.2">
      <c r="A1551" s="29">
        <v>785956</v>
      </c>
      <c r="B1551" s="8" t="s">
        <v>249</v>
      </c>
      <c r="C1551" s="35" t="s">
        <v>2774</v>
      </c>
      <c r="D1551" s="12"/>
      <c r="E1551" s="26" t="s">
        <v>14</v>
      </c>
      <c r="F1551" s="12"/>
      <c r="G1551" s="12"/>
      <c r="H1551" s="33">
        <v>21</v>
      </c>
      <c r="I1551" s="23" t="s">
        <v>18</v>
      </c>
    </row>
    <row r="1552" spans="1:9" ht="46.8">
      <c r="A1552" s="8">
        <v>788664</v>
      </c>
      <c r="B1552" s="8" t="s">
        <v>249</v>
      </c>
      <c r="C1552" s="54" t="s">
        <v>2775</v>
      </c>
      <c r="D1552" s="12"/>
      <c r="E1552" s="12"/>
      <c r="F1552" s="31" t="s">
        <v>43</v>
      </c>
      <c r="G1552" s="12"/>
      <c r="H1552" s="8">
        <v>21</v>
      </c>
      <c r="I1552" s="15" t="s">
        <v>11</v>
      </c>
    </row>
    <row r="1553" spans="1:9" ht="46.8">
      <c r="A1553" s="8">
        <v>788673</v>
      </c>
      <c r="B1553" s="8" t="s">
        <v>249</v>
      </c>
      <c r="C1553" s="54" t="s">
        <v>2776</v>
      </c>
      <c r="D1553" s="12"/>
      <c r="E1553" s="12"/>
      <c r="F1553" s="31" t="s">
        <v>43</v>
      </c>
      <c r="G1553" s="12"/>
      <c r="H1553" s="8">
        <v>21</v>
      </c>
      <c r="I1553" s="15" t="s">
        <v>11</v>
      </c>
    </row>
    <row r="1554" spans="1:9" ht="31.2">
      <c r="A1554" s="8">
        <v>788678</v>
      </c>
      <c r="B1554" s="8" t="s">
        <v>249</v>
      </c>
      <c r="C1554" s="35" t="s">
        <v>2777</v>
      </c>
      <c r="D1554" s="12"/>
      <c r="E1554" s="12"/>
      <c r="F1554" s="31" t="s">
        <v>43</v>
      </c>
      <c r="G1554" s="12"/>
      <c r="H1554" s="8">
        <v>21</v>
      </c>
      <c r="I1554" s="15" t="s">
        <v>11</v>
      </c>
    </row>
    <row r="1555" spans="1:9" ht="31.2">
      <c r="A1555" s="8">
        <v>788684</v>
      </c>
      <c r="B1555" s="8" t="s">
        <v>249</v>
      </c>
      <c r="C1555" s="35" t="s">
        <v>2778</v>
      </c>
      <c r="D1555" s="12"/>
      <c r="E1555" s="12"/>
      <c r="F1555" s="31" t="s">
        <v>43</v>
      </c>
      <c r="G1555" s="12"/>
      <c r="H1555" s="8">
        <v>21</v>
      </c>
      <c r="I1555" s="15" t="s">
        <v>11</v>
      </c>
    </row>
    <row r="1556" spans="1:9" ht="62.4">
      <c r="A1556" s="8">
        <v>788695</v>
      </c>
      <c r="B1556" s="8" t="s">
        <v>249</v>
      </c>
      <c r="C1556" s="35" t="s">
        <v>2779</v>
      </c>
      <c r="D1556" s="12"/>
      <c r="E1556" s="12"/>
      <c r="F1556" s="31" t="str">
        <f>HYPERLINK("https://www.familysearch.org/search/catalog/2842948","FamilySearch.org")</f>
        <v>FamilySearch.org</v>
      </c>
      <c r="G1556" s="12"/>
      <c r="H1556" s="8">
        <v>21</v>
      </c>
      <c r="I1556" s="7" t="s">
        <v>11</v>
      </c>
    </row>
    <row r="1557" spans="1:9" ht="31.2">
      <c r="A1557" s="29">
        <v>849164</v>
      </c>
      <c r="B1557" s="8" t="s">
        <v>249</v>
      </c>
      <c r="C1557" s="16" t="s">
        <v>2780</v>
      </c>
      <c r="D1557" s="12"/>
      <c r="E1557" s="26" t="s">
        <v>14</v>
      </c>
      <c r="F1557" s="12"/>
      <c r="G1557" s="12"/>
      <c r="H1557" s="33">
        <v>75</v>
      </c>
      <c r="I1557" s="14" t="s">
        <v>15</v>
      </c>
    </row>
    <row r="1558" spans="1:9" ht="31.2">
      <c r="A1558" s="8">
        <v>875682</v>
      </c>
      <c r="B1558" s="8" t="s">
        <v>249</v>
      </c>
      <c r="C1558" s="54" t="str">
        <f>HYPERLINK("https://catalog.archives.gov/search?q=Chugach&amp;f.ancestorNaIds=875682","Land Case Files, Chugach National Forest (Anchorage, Alaska), 1909-1989")</f>
        <v>Land Case Files, Chugach National Forest (Anchorage, Alaska), 1909-1989</v>
      </c>
      <c r="D1558" s="12"/>
      <c r="E1558" s="12"/>
      <c r="F1558" s="31" t="str">
        <f>HYPERLINK("https://www.familysearch.org/search/catalog/2835347","FamilySearch.org")</f>
        <v>FamilySearch.org</v>
      </c>
      <c r="G1558" s="12"/>
      <c r="H1558" s="8">
        <v>95</v>
      </c>
      <c r="I1558" s="15" t="s">
        <v>18</v>
      </c>
    </row>
    <row r="1559" spans="1:9" ht="31.2">
      <c r="A1559" s="8">
        <v>875682</v>
      </c>
      <c r="B1559" s="8" t="s">
        <v>249</v>
      </c>
      <c r="C1559" s="54" t="str">
        <f>HYPERLINK("https://catalog.archives.gov/search?q=Tongass&amp;f.ancestorNaIds=875682","Land Case Files, Tongass National Forest (Ketchikan, Alaska), 1920-1974")</f>
        <v>Land Case Files, Tongass National Forest (Ketchikan, Alaska), 1920-1974</v>
      </c>
      <c r="D1559" s="12"/>
      <c r="E1559" s="12"/>
      <c r="F1559" s="31" t="str">
        <f>HYPERLINK("https://www.familysearch.org/search/catalog/2835356","FamilySearch.org")</f>
        <v>FamilySearch.org</v>
      </c>
      <c r="G1559" s="12"/>
      <c r="H1559" s="8">
        <v>95</v>
      </c>
      <c r="I1559" s="15" t="s">
        <v>18</v>
      </c>
    </row>
    <row r="1560" spans="1:9" ht="31.2">
      <c r="A1560" s="29">
        <v>895239</v>
      </c>
      <c r="B1560" s="8" t="s">
        <v>249</v>
      </c>
      <c r="C1560" s="16" t="s">
        <v>2781</v>
      </c>
      <c r="D1560" s="12"/>
      <c r="E1560" s="12"/>
      <c r="F1560" s="32" t="s">
        <v>43</v>
      </c>
      <c r="G1560" s="12"/>
      <c r="H1560" s="33">
        <v>21</v>
      </c>
      <c r="I1560" s="14" t="s">
        <v>15</v>
      </c>
    </row>
    <row r="1561" spans="1:9" ht="31.2">
      <c r="A1561" s="36">
        <v>895351</v>
      </c>
      <c r="B1561" s="8" t="s">
        <v>249</v>
      </c>
      <c r="C1561" s="16" t="s">
        <v>2782</v>
      </c>
      <c r="D1561" s="12"/>
      <c r="E1561" s="12"/>
      <c r="F1561" s="32" t="s">
        <v>43</v>
      </c>
      <c r="G1561" s="12"/>
      <c r="H1561" s="33">
        <v>21</v>
      </c>
      <c r="I1561" s="14" t="s">
        <v>15</v>
      </c>
    </row>
    <row r="1562" spans="1:9" ht="31.2">
      <c r="A1562" s="36">
        <v>895790</v>
      </c>
      <c r="B1562" s="8" t="s">
        <v>249</v>
      </c>
      <c r="C1562" s="16" t="s">
        <v>2783</v>
      </c>
      <c r="D1562" s="12"/>
      <c r="E1562" s="12"/>
      <c r="F1562" s="32" t="s">
        <v>43</v>
      </c>
      <c r="G1562" s="12"/>
      <c r="H1562" s="33">
        <v>21</v>
      </c>
      <c r="I1562" s="14" t="s">
        <v>15</v>
      </c>
    </row>
    <row r="1563" spans="1:9" ht="31.2">
      <c r="A1563" s="36">
        <v>895976</v>
      </c>
      <c r="B1563" s="8" t="s">
        <v>249</v>
      </c>
      <c r="C1563" s="16" t="s">
        <v>2784</v>
      </c>
      <c r="D1563" s="12"/>
      <c r="E1563" s="12"/>
      <c r="F1563" s="32" t="s">
        <v>43</v>
      </c>
      <c r="G1563" s="12"/>
      <c r="H1563" s="33">
        <v>21</v>
      </c>
      <c r="I1563" s="14" t="s">
        <v>15</v>
      </c>
    </row>
    <row r="1564" spans="1:9" ht="31.2">
      <c r="A1564" s="29">
        <v>923647</v>
      </c>
      <c r="B1564" s="8" t="s">
        <v>249</v>
      </c>
      <c r="C1564" s="35" t="s">
        <v>2785</v>
      </c>
      <c r="D1564" s="32" t="str">
        <f t="shared" ref="D1564:D1567" si="62">HYPERLINK("https://www.fold3.com/title/765/wwii-old-mans-draft-registration-cards","Fold3.com")</f>
        <v>Fold3.com</v>
      </c>
      <c r="E1564" s="26" t="s">
        <v>14</v>
      </c>
      <c r="F1564" s="12"/>
      <c r="G1564" s="12"/>
      <c r="H1564" s="33">
        <v>147</v>
      </c>
      <c r="I1564" s="14" t="s">
        <v>11</v>
      </c>
    </row>
    <row r="1565" spans="1:9" ht="31.2">
      <c r="A1565" s="29">
        <v>939365</v>
      </c>
      <c r="B1565" s="8" t="s">
        <v>249</v>
      </c>
      <c r="C1565" s="16" t="s">
        <v>2786</v>
      </c>
      <c r="D1565" s="32" t="str">
        <f t="shared" si="62"/>
        <v>Fold3.com</v>
      </c>
      <c r="E1565" s="26" t="s">
        <v>14</v>
      </c>
      <c r="F1565" s="12"/>
      <c r="G1565" s="12"/>
      <c r="H1565" s="33">
        <v>147</v>
      </c>
      <c r="I1565" s="14" t="s">
        <v>15</v>
      </c>
    </row>
    <row r="1566" spans="1:9" ht="31.2">
      <c r="A1566" s="29">
        <v>939367</v>
      </c>
      <c r="B1566" s="8" t="s">
        <v>249</v>
      </c>
      <c r="C1566" s="16" t="s">
        <v>2787</v>
      </c>
      <c r="D1566" s="32" t="str">
        <f t="shared" si="62"/>
        <v>Fold3.com</v>
      </c>
      <c r="E1566" s="26" t="s">
        <v>14</v>
      </c>
      <c r="F1566" s="12"/>
      <c r="G1566" s="12"/>
      <c r="H1566" s="33">
        <v>147</v>
      </c>
      <c r="I1566" s="14" t="s">
        <v>15</v>
      </c>
    </row>
    <row r="1567" spans="1:9" ht="31.2">
      <c r="A1567" s="29">
        <v>939368</v>
      </c>
      <c r="B1567" s="8" t="s">
        <v>249</v>
      </c>
      <c r="C1567" s="16" t="s">
        <v>2788</v>
      </c>
      <c r="D1567" s="32" t="str">
        <f t="shared" si="62"/>
        <v>Fold3.com</v>
      </c>
      <c r="E1567" s="26" t="s">
        <v>14</v>
      </c>
      <c r="F1567" s="12"/>
      <c r="G1567" s="12"/>
      <c r="H1567" s="33">
        <v>147</v>
      </c>
      <c r="I1567" s="14" t="s">
        <v>15</v>
      </c>
    </row>
    <row r="1568" spans="1:9" ht="31.2">
      <c r="A1568" s="36">
        <v>1055070</v>
      </c>
      <c r="B1568" s="8" t="s">
        <v>249</v>
      </c>
      <c r="C1568" s="16" t="s">
        <v>2789</v>
      </c>
      <c r="D1568" s="12"/>
      <c r="E1568" s="12"/>
      <c r="F1568" s="32" t="s">
        <v>43</v>
      </c>
      <c r="G1568" s="12"/>
      <c r="H1568" s="33">
        <v>21</v>
      </c>
      <c r="I1568" s="14" t="s">
        <v>15</v>
      </c>
    </row>
    <row r="1569" spans="1:9" ht="31.2">
      <c r="A1569" s="8">
        <v>1077387</v>
      </c>
      <c r="B1569" s="8" t="s">
        <v>249</v>
      </c>
      <c r="C1569" s="37" t="s">
        <v>2790</v>
      </c>
      <c r="D1569" s="12"/>
      <c r="E1569" s="12"/>
      <c r="F1569" s="31" t="s">
        <v>43</v>
      </c>
      <c r="G1569" s="12"/>
      <c r="H1569" s="8">
        <v>21</v>
      </c>
      <c r="I1569" s="14" t="s">
        <v>15</v>
      </c>
    </row>
    <row r="1570" spans="1:9" ht="46.8">
      <c r="A1570" s="36">
        <v>1078527</v>
      </c>
      <c r="B1570" s="8" t="s">
        <v>249</v>
      </c>
      <c r="C1570" s="16" t="s">
        <v>2791</v>
      </c>
      <c r="D1570" s="12"/>
      <c r="E1570" s="12"/>
      <c r="F1570" s="32" t="s">
        <v>43</v>
      </c>
      <c r="G1570" s="12"/>
      <c r="H1570" s="33">
        <v>21</v>
      </c>
      <c r="I1570" s="14" t="s">
        <v>15</v>
      </c>
    </row>
    <row r="1571" spans="1:9" ht="31.2">
      <c r="A1571" s="36">
        <v>1078528</v>
      </c>
      <c r="B1571" s="8" t="s">
        <v>249</v>
      </c>
      <c r="C1571" s="16" t="s">
        <v>2792</v>
      </c>
      <c r="D1571" s="12"/>
      <c r="E1571" s="12"/>
      <c r="F1571" s="32" t="s">
        <v>43</v>
      </c>
      <c r="G1571" s="12"/>
      <c r="H1571" s="33">
        <v>21</v>
      </c>
      <c r="I1571" s="14" t="s">
        <v>15</v>
      </c>
    </row>
    <row r="1572" spans="1:9" ht="31.2">
      <c r="A1572" s="8">
        <v>1079716</v>
      </c>
      <c r="B1572" s="8" t="s">
        <v>249</v>
      </c>
      <c r="C1572" s="37" t="s">
        <v>2793</v>
      </c>
      <c r="D1572" s="12"/>
      <c r="E1572" s="12"/>
      <c r="F1572" s="31" t="s">
        <v>43</v>
      </c>
      <c r="G1572" s="12"/>
      <c r="H1572" s="8">
        <v>21</v>
      </c>
      <c r="I1572" s="14" t="s">
        <v>15</v>
      </c>
    </row>
    <row r="1573" spans="1:9" ht="46.8">
      <c r="A1573" s="8">
        <v>1087232</v>
      </c>
      <c r="B1573" s="8" t="s">
        <v>249</v>
      </c>
      <c r="C1573" s="34" t="s">
        <v>2794</v>
      </c>
      <c r="D1573" s="12"/>
      <c r="E1573" s="12"/>
      <c r="F1573" s="31" t="str">
        <f>HYPERLINK("https://www.familysearch.org/search/catalog/2822371?availability=Family%20History%20Library","FamilySearch.org")</f>
        <v>FamilySearch.org</v>
      </c>
      <c r="G1573" s="12"/>
      <c r="H1573" s="8">
        <v>21</v>
      </c>
      <c r="I1573" s="7" t="s">
        <v>11</v>
      </c>
    </row>
    <row r="1574" spans="1:9" ht="31.2">
      <c r="A1574" s="8">
        <v>1096743</v>
      </c>
      <c r="B1574" s="8" t="s">
        <v>249</v>
      </c>
      <c r="C1574" s="37" t="s">
        <v>2795</v>
      </c>
      <c r="D1574" s="12"/>
      <c r="E1574" s="12"/>
      <c r="F1574" s="31" t="s">
        <v>43</v>
      </c>
      <c r="G1574" s="12"/>
      <c r="H1574" s="8">
        <v>21</v>
      </c>
      <c r="I1574" s="14" t="s">
        <v>15</v>
      </c>
    </row>
    <row r="1575" spans="1:9" ht="31.2">
      <c r="A1575" s="29">
        <v>1098589</v>
      </c>
      <c r="B1575" s="8" t="s">
        <v>249</v>
      </c>
      <c r="C1575" s="16" t="s">
        <v>2796</v>
      </c>
      <c r="D1575" s="12"/>
      <c r="E1575" s="26" t="s">
        <v>14</v>
      </c>
      <c r="F1575" s="12"/>
      <c r="G1575" s="12"/>
      <c r="H1575" s="33">
        <v>65</v>
      </c>
      <c r="I1575" s="14" t="s">
        <v>15</v>
      </c>
    </row>
    <row r="1576" spans="1:9" ht="31.2">
      <c r="A1576" s="8">
        <v>1102854</v>
      </c>
      <c r="B1576" s="8" t="s">
        <v>249</v>
      </c>
      <c r="C1576" s="37" t="s">
        <v>2797</v>
      </c>
      <c r="D1576" s="12"/>
      <c r="E1576" s="12"/>
      <c r="F1576" s="12"/>
      <c r="G1576" s="78" t="s">
        <v>2505</v>
      </c>
      <c r="H1576" s="8">
        <v>21</v>
      </c>
      <c r="I1576" s="14" t="s">
        <v>15</v>
      </c>
    </row>
    <row r="1577" spans="1:9" ht="31.2">
      <c r="A1577" s="29">
        <v>1127221</v>
      </c>
      <c r="B1577" s="8" t="s">
        <v>249</v>
      </c>
      <c r="C1577" s="16" t="s">
        <v>2798</v>
      </c>
      <c r="D1577" s="12"/>
      <c r="E1577" s="26" t="s">
        <v>14</v>
      </c>
      <c r="F1577" s="12"/>
      <c r="G1577" s="12"/>
      <c r="H1577" s="33">
        <v>21</v>
      </c>
      <c r="I1577" s="14" t="s">
        <v>15</v>
      </c>
    </row>
    <row r="1578" spans="1:9" ht="46.8">
      <c r="A1578" s="8">
        <v>1133902</v>
      </c>
      <c r="B1578" s="8" t="s">
        <v>249</v>
      </c>
      <c r="C1578" s="35" t="s">
        <v>2799</v>
      </c>
      <c r="D1578" s="12"/>
      <c r="E1578" s="12"/>
      <c r="F1578" s="31" t="str">
        <f>HYPERLINK("https://www.familysearch.org/search/catalog/2110746","FamilySearch.org")</f>
        <v>FamilySearch.org</v>
      </c>
      <c r="G1578" s="12"/>
      <c r="H1578" s="8">
        <v>21</v>
      </c>
      <c r="I1578" s="7" t="s">
        <v>18</v>
      </c>
    </row>
    <row r="1579" spans="1:9" ht="31.2">
      <c r="A1579" s="29">
        <v>1136717</v>
      </c>
      <c r="B1579" s="8" t="s">
        <v>249</v>
      </c>
      <c r="C1579" s="16" t="s">
        <v>2800</v>
      </c>
      <c r="D1579" s="12"/>
      <c r="E1579" s="26" t="s">
        <v>14</v>
      </c>
      <c r="F1579" s="12"/>
      <c r="G1579" s="12"/>
      <c r="H1579" s="33">
        <v>21</v>
      </c>
      <c r="I1579" s="14" t="s">
        <v>15</v>
      </c>
    </row>
    <row r="1580" spans="1:9" ht="31.2">
      <c r="A1580" s="29">
        <v>1136737</v>
      </c>
      <c r="B1580" s="8" t="s">
        <v>249</v>
      </c>
      <c r="C1580" s="16" t="s">
        <v>2801</v>
      </c>
      <c r="D1580" s="12"/>
      <c r="E1580" s="26" t="s">
        <v>14</v>
      </c>
      <c r="F1580" s="12"/>
      <c r="G1580" s="12"/>
      <c r="H1580" s="33">
        <v>21</v>
      </c>
      <c r="I1580" s="14" t="s">
        <v>15</v>
      </c>
    </row>
    <row r="1581" spans="1:9" ht="31.2">
      <c r="A1581" s="36">
        <v>1136813</v>
      </c>
      <c r="B1581" s="8" t="s">
        <v>249</v>
      </c>
      <c r="C1581" s="16" t="s">
        <v>2802</v>
      </c>
      <c r="D1581" s="12"/>
      <c r="E1581" s="12"/>
      <c r="F1581" s="32" t="s">
        <v>43</v>
      </c>
      <c r="G1581" s="12"/>
      <c r="H1581" s="33">
        <v>21</v>
      </c>
      <c r="I1581" s="14" t="s">
        <v>15</v>
      </c>
    </row>
    <row r="1582" spans="1:9" ht="31.2">
      <c r="A1582" s="36">
        <v>1136970</v>
      </c>
      <c r="B1582" s="8" t="s">
        <v>249</v>
      </c>
      <c r="C1582" s="16" t="s">
        <v>2803</v>
      </c>
      <c r="D1582" s="12"/>
      <c r="E1582" s="12"/>
      <c r="F1582" s="32" t="s">
        <v>43</v>
      </c>
      <c r="G1582" s="12"/>
      <c r="H1582" s="33">
        <v>21</v>
      </c>
      <c r="I1582" s="14" t="s">
        <v>15</v>
      </c>
    </row>
    <row r="1583" spans="1:9" ht="31.2">
      <c r="A1583" s="36">
        <v>1136984</v>
      </c>
      <c r="B1583" s="8" t="s">
        <v>249</v>
      </c>
      <c r="C1583" s="16" t="s">
        <v>2804</v>
      </c>
      <c r="D1583" s="12"/>
      <c r="E1583" s="12"/>
      <c r="F1583" s="32" t="s">
        <v>43</v>
      </c>
      <c r="G1583" s="12"/>
      <c r="H1583" s="33">
        <v>21</v>
      </c>
      <c r="I1583" s="14" t="s">
        <v>15</v>
      </c>
    </row>
    <row r="1584" spans="1:9" ht="31.2">
      <c r="A1584" s="36">
        <v>1136990</v>
      </c>
      <c r="B1584" s="8" t="s">
        <v>249</v>
      </c>
      <c r="C1584" s="16" t="s">
        <v>2805</v>
      </c>
      <c r="D1584" s="12"/>
      <c r="E1584" s="12"/>
      <c r="F1584" s="32" t="s">
        <v>43</v>
      </c>
      <c r="G1584" s="12"/>
      <c r="H1584" s="33">
        <v>21</v>
      </c>
      <c r="I1584" s="14" t="s">
        <v>15</v>
      </c>
    </row>
    <row r="1585" spans="1:9" ht="31.2">
      <c r="A1585" s="36">
        <v>1136993</v>
      </c>
      <c r="B1585" s="8" t="s">
        <v>249</v>
      </c>
      <c r="C1585" s="16" t="s">
        <v>2806</v>
      </c>
      <c r="D1585" s="12"/>
      <c r="E1585" s="12"/>
      <c r="F1585" s="32" t="s">
        <v>43</v>
      </c>
      <c r="G1585" s="12"/>
      <c r="H1585" s="33">
        <v>21</v>
      </c>
      <c r="I1585" s="14" t="s">
        <v>15</v>
      </c>
    </row>
    <row r="1586" spans="1:9" ht="31.2">
      <c r="A1586" s="36">
        <v>1137235</v>
      </c>
      <c r="B1586" s="8" t="s">
        <v>249</v>
      </c>
      <c r="C1586" s="16" t="s">
        <v>2807</v>
      </c>
      <c r="D1586" s="12"/>
      <c r="E1586" s="12"/>
      <c r="F1586" s="32" t="s">
        <v>43</v>
      </c>
      <c r="G1586" s="12"/>
      <c r="H1586" s="33">
        <v>21</v>
      </c>
      <c r="I1586" s="14" t="s">
        <v>15</v>
      </c>
    </row>
    <row r="1587" spans="1:9" ht="31.2">
      <c r="A1587" s="36">
        <v>1137242</v>
      </c>
      <c r="B1587" s="8" t="s">
        <v>249</v>
      </c>
      <c r="C1587" s="16" t="s">
        <v>2808</v>
      </c>
      <c r="D1587" s="12"/>
      <c r="E1587" s="12"/>
      <c r="F1587" s="32" t="s">
        <v>43</v>
      </c>
      <c r="G1587" s="12"/>
      <c r="H1587" s="33">
        <v>21</v>
      </c>
      <c r="I1587" s="14" t="s">
        <v>15</v>
      </c>
    </row>
    <row r="1588" spans="1:9" ht="31.2">
      <c r="A1588" s="36">
        <v>1137591</v>
      </c>
      <c r="B1588" s="8" t="s">
        <v>249</v>
      </c>
      <c r="C1588" s="16" t="s">
        <v>2809</v>
      </c>
      <c r="D1588" s="12"/>
      <c r="E1588" s="12"/>
      <c r="F1588" s="32" t="s">
        <v>43</v>
      </c>
      <c r="G1588" s="12"/>
      <c r="H1588" s="33">
        <v>21</v>
      </c>
      <c r="I1588" s="14" t="s">
        <v>15</v>
      </c>
    </row>
    <row r="1589" spans="1:9" ht="46.8">
      <c r="A1589" s="8">
        <v>1137682</v>
      </c>
      <c r="B1589" s="8" t="s">
        <v>249</v>
      </c>
      <c r="C1589" s="37" t="s">
        <v>2810</v>
      </c>
      <c r="D1589" s="12"/>
      <c r="E1589" s="12"/>
      <c r="F1589" s="31" t="str">
        <f>HYPERLINK("https://www.familysearch.org/search/catalog/2622271","FamilySearch.org")</f>
        <v>FamilySearch.org</v>
      </c>
      <c r="G1589" s="12"/>
      <c r="H1589" s="8">
        <v>21</v>
      </c>
      <c r="I1589" s="7" t="s">
        <v>15</v>
      </c>
    </row>
    <row r="1590" spans="1:9" ht="31.2">
      <c r="A1590" s="36">
        <v>1137799</v>
      </c>
      <c r="B1590" s="8" t="s">
        <v>249</v>
      </c>
      <c r="C1590" s="16" t="s">
        <v>2811</v>
      </c>
      <c r="D1590" s="12"/>
      <c r="E1590" s="12"/>
      <c r="F1590" s="32" t="s">
        <v>43</v>
      </c>
      <c r="G1590" s="12"/>
      <c r="H1590" s="33">
        <v>21</v>
      </c>
      <c r="I1590" s="14" t="s">
        <v>15</v>
      </c>
    </row>
    <row r="1591" spans="1:9" ht="31.2">
      <c r="A1591" s="36">
        <v>1137809</v>
      </c>
      <c r="B1591" s="8" t="s">
        <v>249</v>
      </c>
      <c r="C1591" s="16" t="s">
        <v>2812</v>
      </c>
      <c r="D1591" s="12"/>
      <c r="E1591" s="12"/>
      <c r="F1591" s="32" t="s">
        <v>43</v>
      </c>
      <c r="G1591" s="12"/>
      <c r="H1591" s="33">
        <v>21</v>
      </c>
      <c r="I1591" s="14" t="s">
        <v>15</v>
      </c>
    </row>
    <row r="1592" spans="1:9" ht="31.2">
      <c r="A1592" s="36">
        <v>1137818</v>
      </c>
      <c r="B1592" s="8" t="s">
        <v>249</v>
      </c>
      <c r="C1592" s="16" t="s">
        <v>2813</v>
      </c>
      <c r="D1592" s="12"/>
      <c r="E1592" s="12"/>
      <c r="F1592" s="32" t="s">
        <v>43</v>
      </c>
      <c r="G1592" s="12"/>
      <c r="H1592" s="33">
        <v>21</v>
      </c>
      <c r="I1592" s="14" t="s">
        <v>15</v>
      </c>
    </row>
    <row r="1593" spans="1:9" ht="31.2">
      <c r="A1593" s="36">
        <v>1137887</v>
      </c>
      <c r="B1593" s="8" t="s">
        <v>249</v>
      </c>
      <c r="C1593" s="16" t="s">
        <v>2814</v>
      </c>
      <c r="D1593" s="12"/>
      <c r="E1593" s="12"/>
      <c r="F1593" s="32" t="s">
        <v>43</v>
      </c>
      <c r="G1593" s="12"/>
      <c r="H1593" s="33">
        <v>21</v>
      </c>
      <c r="I1593" s="14" t="s">
        <v>15</v>
      </c>
    </row>
    <row r="1594" spans="1:9" ht="31.2">
      <c r="A1594" s="36">
        <v>1138207</v>
      </c>
      <c r="B1594" s="8" t="s">
        <v>249</v>
      </c>
      <c r="C1594" s="16" t="s">
        <v>2815</v>
      </c>
      <c r="D1594" s="12"/>
      <c r="E1594" s="12"/>
      <c r="F1594" s="32" t="s">
        <v>43</v>
      </c>
      <c r="G1594" s="12"/>
      <c r="H1594" s="33">
        <v>21</v>
      </c>
      <c r="I1594" s="14" t="s">
        <v>15</v>
      </c>
    </row>
    <row r="1595" spans="1:9" ht="31.2">
      <c r="A1595" s="36">
        <v>1138216</v>
      </c>
      <c r="B1595" s="8" t="s">
        <v>249</v>
      </c>
      <c r="C1595" s="16" t="s">
        <v>2816</v>
      </c>
      <c r="D1595" s="12"/>
      <c r="E1595" s="12"/>
      <c r="F1595" s="32" t="s">
        <v>43</v>
      </c>
      <c r="G1595" s="12"/>
      <c r="H1595" s="33">
        <v>21</v>
      </c>
      <c r="I1595" s="14" t="s">
        <v>15</v>
      </c>
    </row>
    <row r="1596" spans="1:9" ht="31.2">
      <c r="A1596" s="36">
        <v>1138230</v>
      </c>
      <c r="B1596" s="8" t="s">
        <v>249</v>
      </c>
      <c r="C1596" s="16" t="s">
        <v>2817</v>
      </c>
      <c r="D1596" s="12"/>
      <c r="E1596" s="12"/>
      <c r="F1596" s="32" t="s">
        <v>43</v>
      </c>
      <c r="G1596" s="12"/>
      <c r="H1596" s="33">
        <v>21</v>
      </c>
      <c r="I1596" s="14" t="s">
        <v>15</v>
      </c>
    </row>
    <row r="1597" spans="1:9" ht="46.8">
      <c r="A1597" s="29">
        <v>1138366</v>
      </c>
      <c r="B1597" s="8" t="s">
        <v>249</v>
      </c>
      <c r="C1597" s="49" t="str">
        <f>HYPERLINK("https://catalog.archives.gov/search?q=*:*&amp;f.ancestorNaIds=1138366&amp;sort=naIdSort%20asc","Petitions for Naturalization, Tennessee (Winchester Division of the Eastern District), 1942 - 1944")</f>
        <v>Petitions for Naturalization, Tennessee (Winchester Division of the Eastern District), 1942 - 1944</v>
      </c>
      <c r="D1597" s="12"/>
      <c r="E1597" s="26" t="s">
        <v>14</v>
      </c>
      <c r="F1597" s="12"/>
      <c r="G1597" s="12"/>
      <c r="H1597" s="33">
        <v>21</v>
      </c>
      <c r="I1597" s="23" t="s">
        <v>18</v>
      </c>
    </row>
    <row r="1598" spans="1:9" ht="46.8">
      <c r="A1598" s="29">
        <v>1138586</v>
      </c>
      <c r="B1598" s="8" t="s">
        <v>249</v>
      </c>
      <c r="C1598" s="49" t="str">
        <f>HYPERLINK("https://catalog.archives.gov/search?q=*:*&amp;f.ancestorNaIds=1138586&amp;sort=naIdSort%20asc","Petitions for Naturalization, Tennessee (Northeastern (Greenville) Division of the Eastern District), 1913 - 1991")</f>
        <v>Petitions for Naturalization, Tennessee (Northeastern (Greenville) Division of the Eastern District), 1913 - 1991</v>
      </c>
      <c r="D1598" s="12"/>
      <c r="E1598" s="26" t="s">
        <v>14</v>
      </c>
      <c r="F1598" s="12"/>
      <c r="G1598" s="12"/>
      <c r="H1598" s="33">
        <v>21</v>
      </c>
      <c r="I1598" s="23" t="s">
        <v>18</v>
      </c>
    </row>
    <row r="1599" spans="1:9" ht="31.2">
      <c r="A1599" s="29">
        <v>1145560</v>
      </c>
      <c r="B1599" s="8" t="s">
        <v>249</v>
      </c>
      <c r="C1599" s="54" t="s">
        <v>2818</v>
      </c>
      <c r="D1599" s="12"/>
      <c r="E1599" s="26" t="s">
        <v>14</v>
      </c>
      <c r="F1599" s="12"/>
      <c r="G1599" s="12"/>
      <c r="H1599" s="33">
        <v>59</v>
      </c>
      <c r="I1599" s="23" t="s">
        <v>11</v>
      </c>
    </row>
    <row r="1600" spans="1:9" ht="31.2">
      <c r="A1600" s="29">
        <v>1146000</v>
      </c>
      <c r="B1600" s="8" t="s">
        <v>249</v>
      </c>
      <c r="C1600" s="54" t="s">
        <v>2819</v>
      </c>
      <c r="D1600" s="12"/>
      <c r="E1600" s="26" t="s">
        <v>14</v>
      </c>
      <c r="F1600" s="12"/>
      <c r="G1600" s="12"/>
      <c r="H1600" s="33">
        <v>59</v>
      </c>
      <c r="I1600" s="23" t="s">
        <v>11</v>
      </c>
    </row>
    <row r="1601" spans="1:9" ht="46.8">
      <c r="A1601" s="29">
        <v>1150696</v>
      </c>
      <c r="B1601" s="8" t="s">
        <v>249</v>
      </c>
      <c r="C1601" s="54" t="s">
        <v>2820</v>
      </c>
      <c r="D1601" s="12"/>
      <c r="E1601" s="26" t="s">
        <v>14</v>
      </c>
      <c r="F1601" s="12"/>
      <c r="G1601" s="12"/>
      <c r="H1601" s="33">
        <v>59</v>
      </c>
      <c r="I1601" s="23" t="s">
        <v>11</v>
      </c>
    </row>
    <row r="1602" spans="1:9" ht="31.2">
      <c r="A1602" s="29">
        <v>1150702</v>
      </c>
      <c r="B1602" s="8" t="s">
        <v>249</v>
      </c>
      <c r="C1602" s="54" t="s">
        <v>2821</v>
      </c>
      <c r="D1602" s="12"/>
      <c r="E1602" s="26" t="s">
        <v>14</v>
      </c>
      <c r="F1602" s="12"/>
      <c r="G1602" s="12"/>
      <c r="H1602" s="33">
        <v>59</v>
      </c>
      <c r="I1602" s="23" t="s">
        <v>11</v>
      </c>
    </row>
    <row r="1603" spans="1:9" ht="46.8">
      <c r="A1603" s="8">
        <v>1150838</v>
      </c>
      <c r="B1603" s="8" t="s">
        <v>249</v>
      </c>
      <c r="C1603" s="35" t="s">
        <v>2822</v>
      </c>
      <c r="D1603" s="12"/>
      <c r="E1603" s="12"/>
      <c r="F1603" s="31" t="str">
        <f>HYPERLINK("https://www.familysearch.org/search/catalog/3156430","FamilySearch.org")</f>
        <v>FamilySearch.org</v>
      </c>
      <c r="G1603" s="12"/>
      <c r="H1603" s="8">
        <v>21</v>
      </c>
      <c r="I1603" s="15" t="s">
        <v>18</v>
      </c>
    </row>
    <row r="1604" spans="1:9" ht="46.8">
      <c r="A1604" s="8">
        <v>1151138</v>
      </c>
      <c r="B1604" s="8" t="s">
        <v>249</v>
      </c>
      <c r="C1604" s="37" t="s">
        <v>2823</v>
      </c>
      <c r="D1604" s="12"/>
      <c r="E1604" s="12"/>
      <c r="F1604" s="31" t="str">
        <f t="shared" ref="F1604:F1606" si="63">HYPERLINK("https://www.familysearch.org/search/catalog/2622271","FamilySearch.org")</f>
        <v>FamilySearch.org</v>
      </c>
      <c r="G1604" s="12"/>
      <c r="H1604" s="8">
        <v>21</v>
      </c>
      <c r="I1604" s="7" t="s">
        <v>15</v>
      </c>
    </row>
    <row r="1605" spans="1:9" ht="46.8">
      <c r="A1605" s="8">
        <v>1151178</v>
      </c>
      <c r="B1605" s="8" t="s">
        <v>249</v>
      </c>
      <c r="C1605" s="37" t="s">
        <v>2824</v>
      </c>
      <c r="D1605" s="12"/>
      <c r="E1605" s="12"/>
      <c r="F1605" s="31" t="str">
        <f t="shared" si="63"/>
        <v>FamilySearch.org</v>
      </c>
      <c r="G1605" s="12"/>
      <c r="H1605" s="8">
        <v>21</v>
      </c>
      <c r="I1605" s="7" t="s">
        <v>15</v>
      </c>
    </row>
    <row r="1606" spans="1:9" ht="46.8">
      <c r="A1606" s="8">
        <v>1151287</v>
      </c>
      <c r="B1606" s="8" t="s">
        <v>249</v>
      </c>
      <c r="C1606" s="37" t="s">
        <v>2825</v>
      </c>
      <c r="D1606" s="12"/>
      <c r="E1606" s="12"/>
      <c r="F1606" s="31" t="str">
        <f t="shared" si="63"/>
        <v>FamilySearch.org</v>
      </c>
      <c r="G1606" s="12"/>
      <c r="H1606" s="8">
        <v>21</v>
      </c>
      <c r="I1606" s="7" t="s">
        <v>15</v>
      </c>
    </row>
    <row r="1607" spans="1:9" ht="31.2">
      <c r="A1607" s="36">
        <v>1151775</v>
      </c>
      <c r="B1607" s="8" t="s">
        <v>249</v>
      </c>
      <c r="C1607" s="49" t="str">
        <f>HYPERLINK("https://catalog.archives.gov/search?q=*:*&amp;f.ancestorNaIds=1151775","Coastwise Slave Manifests, Savannah, 1801 - 1860")</f>
        <v>Coastwise Slave Manifests, Savannah, 1801 - 1860</v>
      </c>
      <c r="D1607" s="12"/>
      <c r="E1607" s="26" t="s">
        <v>14</v>
      </c>
      <c r="F1607" s="12"/>
      <c r="G1607" s="12"/>
      <c r="H1607" s="33">
        <v>36</v>
      </c>
      <c r="I1607" s="23" t="s">
        <v>11</v>
      </c>
    </row>
    <row r="1608" spans="1:9" ht="46.8">
      <c r="A1608" s="8">
        <v>1151868</v>
      </c>
      <c r="B1608" s="8" t="s">
        <v>249</v>
      </c>
      <c r="C1608" s="35" t="s">
        <v>2826</v>
      </c>
      <c r="D1608" s="12"/>
      <c r="E1608" s="12"/>
      <c r="F1608" s="31" t="str">
        <f t="shared" ref="F1608:F1614" si="64">HYPERLINK("https://www.familysearch.org/search/catalog/3029446","FamilySearch.org")</f>
        <v>FamilySearch.org</v>
      </c>
      <c r="G1608" s="12"/>
      <c r="H1608" s="8">
        <v>21</v>
      </c>
      <c r="I1608" s="15" t="s">
        <v>11</v>
      </c>
    </row>
    <row r="1609" spans="1:9" ht="46.8">
      <c r="A1609" s="8">
        <v>1151887</v>
      </c>
      <c r="B1609" s="8" t="s">
        <v>249</v>
      </c>
      <c r="C1609" s="35" t="s">
        <v>2827</v>
      </c>
      <c r="D1609" s="12"/>
      <c r="E1609" s="12"/>
      <c r="F1609" s="31" t="str">
        <f t="shared" si="64"/>
        <v>FamilySearch.org</v>
      </c>
      <c r="G1609" s="12"/>
      <c r="H1609" s="8">
        <v>21</v>
      </c>
      <c r="I1609" s="15" t="s">
        <v>11</v>
      </c>
    </row>
    <row r="1610" spans="1:9" ht="62.4">
      <c r="A1610" s="8">
        <v>1154468</v>
      </c>
      <c r="B1610" s="8" t="s">
        <v>249</v>
      </c>
      <c r="C1610" s="35" t="s">
        <v>2828</v>
      </c>
      <c r="D1610" s="12"/>
      <c r="E1610" s="12"/>
      <c r="F1610" s="31" t="str">
        <f t="shared" si="64"/>
        <v>FamilySearch.org</v>
      </c>
      <c r="G1610" s="12"/>
      <c r="H1610" s="8">
        <v>21</v>
      </c>
      <c r="I1610" s="15" t="s">
        <v>11</v>
      </c>
    </row>
    <row r="1611" spans="1:9" ht="46.8">
      <c r="A1611" s="8">
        <v>1154472</v>
      </c>
      <c r="B1611" s="8" t="s">
        <v>249</v>
      </c>
      <c r="C1611" s="54" t="s">
        <v>2829</v>
      </c>
      <c r="D1611" s="12"/>
      <c r="E1611" s="12"/>
      <c r="F1611" s="31" t="str">
        <f t="shared" si="64"/>
        <v>FamilySearch.org</v>
      </c>
      <c r="G1611" s="12"/>
      <c r="H1611" s="8">
        <v>21</v>
      </c>
      <c r="I1611" s="15" t="s">
        <v>18</v>
      </c>
    </row>
    <row r="1612" spans="1:9" ht="46.8">
      <c r="A1612" s="8">
        <v>1154553</v>
      </c>
      <c r="B1612" s="8" t="s">
        <v>249</v>
      </c>
      <c r="C1612" s="35" t="s">
        <v>2830</v>
      </c>
      <c r="D1612" s="12"/>
      <c r="E1612" s="12"/>
      <c r="F1612" s="31" t="str">
        <f t="shared" si="64"/>
        <v>FamilySearch.org</v>
      </c>
      <c r="G1612" s="12"/>
      <c r="H1612" s="8">
        <v>21</v>
      </c>
      <c r="I1612" s="7" t="s">
        <v>18</v>
      </c>
    </row>
    <row r="1613" spans="1:9" ht="46.8">
      <c r="A1613" s="8">
        <v>1154987</v>
      </c>
      <c r="B1613" s="8" t="s">
        <v>249</v>
      </c>
      <c r="C1613" s="35" t="s">
        <v>2831</v>
      </c>
      <c r="D1613" s="12"/>
      <c r="E1613" s="12"/>
      <c r="F1613" s="31" t="str">
        <f t="shared" si="64"/>
        <v>FamilySearch.org</v>
      </c>
      <c r="G1613" s="12"/>
      <c r="H1613" s="8">
        <v>21</v>
      </c>
      <c r="I1613" s="15" t="s">
        <v>11</v>
      </c>
    </row>
    <row r="1614" spans="1:9" ht="46.8">
      <c r="A1614" s="8">
        <v>1157626</v>
      </c>
      <c r="B1614" s="8" t="s">
        <v>249</v>
      </c>
      <c r="C1614" s="35" t="s">
        <v>2832</v>
      </c>
      <c r="D1614" s="12"/>
      <c r="E1614" s="12"/>
      <c r="F1614" s="31" t="str">
        <f t="shared" si="64"/>
        <v>FamilySearch.org</v>
      </c>
      <c r="G1614" s="12"/>
      <c r="H1614" s="8">
        <v>21</v>
      </c>
      <c r="I1614" s="15" t="s">
        <v>11</v>
      </c>
    </row>
    <row r="1615" spans="1:9" ht="46.8">
      <c r="A1615" s="29">
        <v>1157734</v>
      </c>
      <c r="B1615" s="8" t="s">
        <v>249</v>
      </c>
      <c r="C1615" s="35" t="s">
        <v>2833</v>
      </c>
      <c r="D1615" s="12"/>
      <c r="E1615" s="26" t="s">
        <v>14</v>
      </c>
      <c r="F1615" s="12"/>
      <c r="G1615" s="12"/>
      <c r="H1615" s="33">
        <v>163</v>
      </c>
      <c r="I1615" s="14" t="s">
        <v>11</v>
      </c>
    </row>
    <row r="1616" spans="1:9" ht="46.8">
      <c r="A1616" s="29">
        <v>1159403</v>
      </c>
      <c r="B1616" s="8" t="s">
        <v>249</v>
      </c>
      <c r="C1616" s="35" t="s">
        <v>2834</v>
      </c>
      <c r="D1616" s="12"/>
      <c r="E1616" s="26" t="s">
        <v>14</v>
      </c>
      <c r="F1616" s="12"/>
      <c r="G1616" s="12"/>
      <c r="H1616" s="33">
        <v>163</v>
      </c>
      <c r="I1616" s="14" t="s">
        <v>11</v>
      </c>
    </row>
    <row r="1617" spans="1:9" ht="46.8">
      <c r="A1617" s="29">
        <v>1165908</v>
      </c>
      <c r="B1617" s="8" t="s">
        <v>249</v>
      </c>
      <c r="C1617" s="16" t="s">
        <v>2835</v>
      </c>
      <c r="D1617" s="12"/>
      <c r="E1617" s="12"/>
      <c r="F1617" s="32" t="s">
        <v>43</v>
      </c>
      <c r="G1617" s="12"/>
      <c r="H1617" s="33">
        <v>21</v>
      </c>
      <c r="I1617" s="14" t="s">
        <v>15</v>
      </c>
    </row>
    <row r="1618" spans="1:9" ht="31.2">
      <c r="A1618" s="8">
        <v>1174162</v>
      </c>
      <c r="B1618" s="8" t="s">
        <v>249</v>
      </c>
      <c r="C1618" s="37" t="s">
        <v>2836</v>
      </c>
      <c r="D1618" s="12"/>
      <c r="E1618" s="31" t="str">
        <f>HYPERLINK("https://search.ancestryinstitution.com/search/db.aspx?dbid=60419","Ancestry.com")</f>
        <v>Ancestry.com</v>
      </c>
      <c r="F1618" s="12"/>
      <c r="G1618" s="12"/>
      <c r="H1618" s="8">
        <v>76</v>
      </c>
      <c r="I1618" s="7" t="s">
        <v>15</v>
      </c>
    </row>
    <row r="1619" spans="1:9" ht="31.2">
      <c r="A1619" s="29">
        <v>1223643</v>
      </c>
      <c r="B1619" s="8" t="s">
        <v>249</v>
      </c>
      <c r="C1619" s="35" t="s">
        <v>2837</v>
      </c>
      <c r="D1619" s="12"/>
      <c r="E1619" s="26" t="s">
        <v>14</v>
      </c>
      <c r="F1619" s="12"/>
      <c r="G1619" s="12"/>
      <c r="H1619" s="33">
        <v>94</v>
      </c>
      <c r="I1619" s="23" t="s">
        <v>11</v>
      </c>
    </row>
    <row r="1620" spans="1:9" ht="31.2">
      <c r="A1620" s="29">
        <v>1224771</v>
      </c>
      <c r="B1620" s="8" t="s">
        <v>249</v>
      </c>
      <c r="C1620" s="16" t="s">
        <v>2838</v>
      </c>
      <c r="D1620" s="12"/>
      <c r="E1620" s="32" t="str">
        <f>HYPERLINK("https://search.ancestryinstitution.com/search/db.aspx?dbid=2032","Ancestry.com")</f>
        <v>Ancestry.com</v>
      </c>
      <c r="F1620" s="12"/>
      <c r="G1620" s="12"/>
      <c r="H1620" s="33">
        <v>21</v>
      </c>
      <c r="I1620" s="14" t="s">
        <v>15</v>
      </c>
    </row>
    <row r="1621" spans="1:9" ht="31.2">
      <c r="A1621" s="8">
        <v>1224771</v>
      </c>
      <c r="B1621" s="8" t="s">
        <v>249</v>
      </c>
      <c r="C1621" s="37" t="s">
        <v>2839</v>
      </c>
      <c r="D1621" s="12"/>
      <c r="E1621" s="12"/>
      <c r="F1621" s="31" t="str">
        <f>HYPERLINK("https://www.familysearch.org/search/catalog/2818908","FamilySearch.org")</f>
        <v>FamilySearch.org</v>
      </c>
      <c r="G1621" s="12"/>
      <c r="H1621" s="8">
        <v>21</v>
      </c>
      <c r="I1621" s="7" t="s">
        <v>15</v>
      </c>
    </row>
    <row r="1622" spans="1:9" ht="31.2">
      <c r="A1622" s="29">
        <v>1226156</v>
      </c>
      <c r="B1622" s="8" t="s">
        <v>249</v>
      </c>
      <c r="C1622" s="35" t="s">
        <v>2840</v>
      </c>
      <c r="D1622" s="12"/>
      <c r="E1622" s="26" t="s">
        <v>14</v>
      </c>
      <c r="F1622" s="12"/>
      <c r="G1622" s="12"/>
      <c r="H1622" s="33">
        <v>94</v>
      </c>
      <c r="I1622" s="23" t="s">
        <v>11</v>
      </c>
    </row>
    <row r="1623" spans="1:9" ht="46.8">
      <c r="A1623" s="29">
        <v>1226166</v>
      </c>
      <c r="B1623" s="8" t="s">
        <v>249</v>
      </c>
      <c r="C1623" s="35" t="s">
        <v>2841</v>
      </c>
      <c r="D1623" s="12"/>
      <c r="E1623" s="26" t="s">
        <v>14</v>
      </c>
      <c r="F1623" s="12"/>
      <c r="G1623" s="12"/>
      <c r="H1623" s="33">
        <v>94</v>
      </c>
      <c r="I1623" s="23" t="s">
        <v>11</v>
      </c>
    </row>
    <row r="1624" spans="1:9" ht="31.2">
      <c r="A1624" s="29">
        <v>1226169</v>
      </c>
      <c r="B1624" s="8" t="s">
        <v>249</v>
      </c>
      <c r="C1624" s="35" t="s">
        <v>2842</v>
      </c>
      <c r="D1624" s="12"/>
      <c r="E1624" s="26" t="s">
        <v>14</v>
      </c>
      <c r="F1624" s="12"/>
      <c r="G1624" s="12"/>
      <c r="H1624" s="33">
        <v>94</v>
      </c>
      <c r="I1624" s="23" t="s">
        <v>11</v>
      </c>
    </row>
    <row r="1625" spans="1:9" ht="31.2">
      <c r="A1625" s="29">
        <v>1227178</v>
      </c>
      <c r="B1625" s="8" t="s">
        <v>249</v>
      </c>
      <c r="C1625" s="49" t="str">
        <f>HYPERLINK("https://catalog.archives.gov/search?q=*:*&amp;f.ancestorNaIds=1227178&amp;sort=naIdSort%20asc","Petitions for Naturalization, Idaho (Northern (Coeur d'Alene) Division, 1912 - 1967")</f>
        <v>Petitions for Naturalization, Idaho (Northern (Coeur d'Alene) Division, 1912 - 1967</v>
      </c>
      <c r="D1625" s="12"/>
      <c r="E1625" s="32" t="str">
        <f t="shared" ref="E1625:E1626" si="65">HYPERLINK("https://search.ancestryinstitution.com/search/db.aspx?dbid=2032","Ancestry.com")</f>
        <v>Ancestry.com</v>
      </c>
      <c r="F1625" s="31" t="str">
        <f>HYPERLINK("https://www.familysearch.org/search/catalog/2818906","FamilySearch.org")</f>
        <v>FamilySearch.org</v>
      </c>
      <c r="G1625" s="12"/>
      <c r="H1625" s="33">
        <v>21</v>
      </c>
      <c r="I1625" s="23" t="s">
        <v>18</v>
      </c>
    </row>
    <row r="1626" spans="1:9" ht="31.2">
      <c r="A1626" s="29">
        <v>1229787</v>
      </c>
      <c r="B1626" s="8" t="s">
        <v>249</v>
      </c>
      <c r="C1626" s="49" t="str">
        <f>HYPERLINK("https://catalog.archives.gov/search?q=*:*&amp;f.ancestorNaIds=1229787&amp;sort=naIdSort%20asc","Petitions for Naturalization, Idaho (Twin Falls County), 1907 - 1980")</f>
        <v>Petitions for Naturalization, Idaho (Twin Falls County), 1907 - 1980</v>
      </c>
      <c r="D1626" s="12"/>
      <c r="E1626" s="32" t="str">
        <f t="shared" si="65"/>
        <v>Ancestry.com</v>
      </c>
      <c r="F1626" s="31" t="str">
        <f>HYPERLINK("https://www.familysearch.org/search/catalog/2818909","FamilySearch.org")</f>
        <v>FamilySearch.org</v>
      </c>
      <c r="G1626" s="12"/>
      <c r="H1626" s="33">
        <v>21</v>
      </c>
      <c r="I1626" s="23" t="s">
        <v>11</v>
      </c>
    </row>
    <row r="1627" spans="1:9" ht="31.2">
      <c r="A1627" s="29">
        <v>1244178</v>
      </c>
      <c r="B1627" s="8" t="s">
        <v>249</v>
      </c>
      <c r="C1627" s="54" t="s">
        <v>2843</v>
      </c>
      <c r="D1627" s="12"/>
      <c r="E1627" s="26" t="s">
        <v>14</v>
      </c>
      <c r="F1627" s="12"/>
      <c r="G1627" s="12"/>
      <c r="H1627" s="33">
        <v>59</v>
      </c>
      <c r="I1627" s="23" t="s">
        <v>11</v>
      </c>
    </row>
    <row r="1628" spans="1:9" ht="31.2">
      <c r="A1628" s="29">
        <v>1244179</v>
      </c>
      <c r="B1628" s="8" t="s">
        <v>249</v>
      </c>
      <c r="C1628" s="54" t="s">
        <v>2844</v>
      </c>
      <c r="D1628" s="12"/>
      <c r="E1628" s="26" t="s">
        <v>14</v>
      </c>
      <c r="F1628" s="12"/>
      <c r="G1628" s="12"/>
      <c r="H1628" s="33">
        <v>59</v>
      </c>
      <c r="I1628" s="23" t="s">
        <v>11</v>
      </c>
    </row>
    <row r="1629" spans="1:9" ht="46.8">
      <c r="A1629" s="29">
        <v>1244181</v>
      </c>
      <c r="B1629" s="8" t="s">
        <v>249</v>
      </c>
      <c r="C1629" s="54" t="s">
        <v>2845</v>
      </c>
      <c r="D1629" s="12"/>
      <c r="E1629" s="26" t="s">
        <v>14</v>
      </c>
      <c r="F1629" s="12"/>
      <c r="G1629" s="12"/>
      <c r="H1629" s="33">
        <v>59</v>
      </c>
      <c r="I1629" s="23" t="s">
        <v>11</v>
      </c>
    </row>
    <row r="1630" spans="1:9" ht="31.2">
      <c r="A1630" s="29">
        <v>1244182</v>
      </c>
      <c r="B1630" s="8" t="s">
        <v>249</v>
      </c>
      <c r="C1630" s="54" t="s">
        <v>2846</v>
      </c>
      <c r="D1630" s="12"/>
      <c r="E1630" s="26" t="s">
        <v>14</v>
      </c>
      <c r="F1630" s="12"/>
      <c r="G1630" s="12"/>
      <c r="H1630" s="33">
        <v>59</v>
      </c>
      <c r="I1630" s="23" t="s">
        <v>11</v>
      </c>
    </row>
    <row r="1631" spans="1:9" ht="31.2">
      <c r="A1631" s="29">
        <v>1244183</v>
      </c>
      <c r="B1631" s="8" t="s">
        <v>249</v>
      </c>
      <c r="C1631" s="16" t="s">
        <v>2847</v>
      </c>
      <c r="D1631" s="12"/>
      <c r="E1631" s="26" t="s">
        <v>14</v>
      </c>
      <c r="F1631" s="12"/>
      <c r="G1631" s="12"/>
      <c r="H1631" s="33">
        <v>59</v>
      </c>
      <c r="I1631" s="14" t="s">
        <v>15</v>
      </c>
    </row>
    <row r="1632" spans="1:9" ht="46.8">
      <c r="A1632" s="29">
        <v>1244184</v>
      </c>
      <c r="B1632" s="8" t="s">
        <v>249</v>
      </c>
      <c r="C1632" s="49" t="str">
        <f>HYPERLINK("https://catalog.archives.gov/search?q=*:*&amp;f.ancestorNaIds=1244184&amp;sort=naIdSort%20asc","Passport Applications of Wives of Members of the A.E.F. (American Expeditionary Forces) in Europe, 1919—1920")</f>
        <v>Passport Applications of Wives of Members of the A.E.F. (American Expeditionary Forces) in Europe, 1919—1920</v>
      </c>
      <c r="D1632" s="12"/>
      <c r="E1632" s="26" t="s">
        <v>14</v>
      </c>
      <c r="F1632" s="12"/>
      <c r="G1632" s="12"/>
      <c r="H1632" s="33">
        <v>59</v>
      </c>
      <c r="I1632" s="23" t="s">
        <v>11</v>
      </c>
    </row>
    <row r="1633" spans="1:9" ht="31.2">
      <c r="A1633" s="29">
        <v>1244185</v>
      </c>
      <c r="B1633" s="8" t="s">
        <v>249</v>
      </c>
      <c r="C1633" s="16" t="s">
        <v>2848</v>
      </c>
      <c r="D1633" s="12"/>
      <c r="E1633" s="26" t="s">
        <v>14</v>
      </c>
      <c r="F1633" s="12"/>
      <c r="G1633" s="12"/>
      <c r="H1633" s="33">
        <v>59</v>
      </c>
      <c r="I1633" s="14" t="s">
        <v>15</v>
      </c>
    </row>
    <row r="1634" spans="1:9" ht="15.6">
      <c r="A1634" s="8">
        <v>1244186</v>
      </c>
      <c r="B1634" s="8" t="s">
        <v>249</v>
      </c>
      <c r="C1634" s="54" t="str">
        <f>HYPERLINK("https://catalog.archives.gov/search?q=*:*&amp;f.ancestorNaIds=1244186&amp;sort=naIdSort%20asc","Consular Registration Certificates, 1907 - 1918")</f>
        <v>Consular Registration Certificates, 1907 - 1918</v>
      </c>
      <c r="D1634" s="12"/>
      <c r="E1634" s="26" t="s">
        <v>14</v>
      </c>
      <c r="F1634" s="12"/>
      <c r="G1634" s="12"/>
      <c r="H1634" s="8">
        <v>59</v>
      </c>
      <c r="I1634" s="15" t="s">
        <v>11</v>
      </c>
    </row>
    <row r="1635" spans="1:9" ht="15.6">
      <c r="A1635" s="29">
        <v>1251970</v>
      </c>
      <c r="B1635" s="8" t="s">
        <v>249</v>
      </c>
      <c r="C1635" s="35" t="s">
        <v>2849</v>
      </c>
      <c r="D1635" s="12"/>
      <c r="E1635" s="26" t="s">
        <v>14</v>
      </c>
      <c r="F1635" s="12"/>
      <c r="G1635" s="12"/>
      <c r="H1635" s="33">
        <v>59</v>
      </c>
      <c r="I1635" s="23" t="s">
        <v>11</v>
      </c>
    </row>
    <row r="1636" spans="1:9" ht="31.2">
      <c r="A1636" s="29">
        <v>1251972</v>
      </c>
      <c r="B1636" s="8" t="s">
        <v>249</v>
      </c>
      <c r="C1636" s="35" t="s">
        <v>2850</v>
      </c>
      <c r="D1636" s="12"/>
      <c r="E1636" s="26" t="s">
        <v>14</v>
      </c>
      <c r="F1636" s="12"/>
      <c r="G1636" s="12"/>
      <c r="H1636" s="33">
        <v>59</v>
      </c>
      <c r="I1636" s="23" t="s">
        <v>11</v>
      </c>
    </row>
    <row r="1637" spans="1:9" ht="46.8">
      <c r="A1637" s="8">
        <v>1252002</v>
      </c>
      <c r="B1637" s="8" t="s">
        <v>249</v>
      </c>
      <c r="C1637" s="35" t="s">
        <v>2851</v>
      </c>
      <c r="D1637" s="12"/>
      <c r="E1637" s="12"/>
      <c r="F1637" s="31" t="str">
        <f>HYPERLINK("https://www.familysearch.org/search/catalog/549205","FamilySearch.org")</f>
        <v>FamilySearch.org</v>
      </c>
      <c r="G1637" s="12"/>
      <c r="H1637" s="8">
        <v>21</v>
      </c>
      <c r="I1637" s="15" t="s">
        <v>18</v>
      </c>
    </row>
    <row r="1638" spans="1:9" ht="46.8">
      <c r="A1638" s="8">
        <v>1253298</v>
      </c>
      <c r="B1638" s="8" t="s">
        <v>249</v>
      </c>
      <c r="C1638" s="54" t="s">
        <v>2852</v>
      </c>
      <c r="D1638" s="12"/>
      <c r="E1638" s="12"/>
      <c r="F1638" s="31" t="str">
        <f>HYPERLINK("https://www.familysearch.org/search/catalog/549164","FamilySearch.org")</f>
        <v>FamilySearch.org</v>
      </c>
      <c r="G1638" s="12"/>
      <c r="H1638" s="8">
        <v>21</v>
      </c>
      <c r="I1638" s="15" t="s">
        <v>11</v>
      </c>
    </row>
    <row r="1639" spans="1:9" ht="46.8">
      <c r="A1639" s="8">
        <v>1253349</v>
      </c>
      <c r="B1639" s="8" t="s">
        <v>249</v>
      </c>
      <c r="C1639" s="35" t="s">
        <v>2853</v>
      </c>
      <c r="D1639" s="12"/>
      <c r="E1639" s="12"/>
      <c r="F1639" s="31" t="str">
        <f t="shared" ref="F1639:F1640" si="66">HYPERLINK("https://www.familysearch.org/search/catalog/549450","FamilySearch.org")</f>
        <v>FamilySearch.org</v>
      </c>
      <c r="G1639" s="12"/>
      <c r="H1639" s="8">
        <v>21</v>
      </c>
      <c r="I1639" s="15" t="s">
        <v>18</v>
      </c>
    </row>
    <row r="1640" spans="1:9" ht="46.8">
      <c r="A1640" s="8">
        <v>1253353</v>
      </c>
      <c r="B1640" s="8" t="s">
        <v>249</v>
      </c>
      <c r="C1640" s="35" t="s">
        <v>2854</v>
      </c>
      <c r="D1640" s="12"/>
      <c r="E1640" s="12"/>
      <c r="F1640" s="31" t="str">
        <f t="shared" si="66"/>
        <v>FamilySearch.org</v>
      </c>
      <c r="G1640" s="12"/>
      <c r="H1640" s="8">
        <v>21</v>
      </c>
      <c r="I1640" s="15" t="s">
        <v>18</v>
      </c>
    </row>
    <row r="1641" spans="1:9" ht="46.8">
      <c r="A1641" s="23">
        <v>1257262</v>
      </c>
      <c r="B1641" s="8" t="s">
        <v>249</v>
      </c>
      <c r="C1641" s="35" t="s">
        <v>2855</v>
      </c>
      <c r="D1641" s="12"/>
      <c r="E1641" s="26" t="s">
        <v>14</v>
      </c>
      <c r="F1641" s="12"/>
      <c r="G1641" s="12"/>
      <c r="H1641" s="33">
        <v>21</v>
      </c>
      <c r="I1641" s="23" t="s">
        <v>18</v>
      </c>
    </row>
    <row r="1642" spans="1:9" ht="78">
      <c r="A1642" s="8">
        <v>1257411</v>
      </c>
      <c r="B1642" s="8" t="s">
        <v>249</v>
      </c>
      <c r="C1642" s="37" t="s">
        <v>2856</v>
      </c>
      <c r="D1642" s="12"/>
      <c r="E1642" s="12"/>
      <c r="F1642" s="12"/>
      <c r="G1642" s="78" t="s">
        <v>2857</v>
      </c>
      <c r="H1642" s="8">
        <v>407</v>
      </c>
      <c r="I1642" s="7" t="s">
        <v>15</v>
      </c>
    </row>
    <row r="1643" spans="1:9" ht="78">
      <c r="A1643" s="8">
        <v>1257644</v>
      </c>
      <c r="B1643" s="8" t="s">
        <v>249</v>
      </c>
      <c r="C1643" s="35" t="s">
        <v>2858</v>
      </c>
      <c r="D1643" s="12"/>
      <c r="E1643" s="12"/>
      <c r="F1643" s="12"/>
      <c r="G1643" s="78" t="s">
        <v>2857</v>
      </c>
      <c r="H1643" s="8">
        <v>407</v>
      </c>
      <c r="I1643" s="7" t="s">
        <v>11</v>
      </c>
    </row>
    <row r="1644" spans="1:9" ht="31.2">
      <c r="A1644" s="29">
        <v>1258956</v>
      </c>
      <c r="B1644" s="8" t="s">
        <v>249</v>
      </c>
      <c r="C1644" s="35" t="s">
        <v>2859</v>
      </c>
      <c r="D1644" s="12"/>
      <c r="E1644" s="26" t="s">
        <v>14</v>
      </c>
      <c r="F1644" s="12"/>
      <c r="G1644" s="12"/>
      <c r="H1644" s="33">
        <v>21</v>
      </c>
      <c r="I1644" s="23" t="s">
        <v>18</v>
      </c>
    </row>
    <row r="1645" spans="1:9" ht="46.8">
      <c r="A1645" s="8">
        <v>1261498</v>
      </c>
      <c r="B1645" s="8" t="s">
        <v>249</v>
      </c>
      <c r="C1645" s="54" t="s">
        <v>2860</v>
      </c>
      <c r="D1645" s="12"/>
      <c r="E1645" s="12"/>
      <c r="F1645" s="31" t="str">
        <f t="shared" ref="F1645:F1646" si="67">HYPERLINK("https://www.familysearch.org/search/catalog/549322","FamilySearch.org")</f>
        <v>FamilySearch.org</v>
      </c>
      <c r="G1645" s="12"/>
      <c r="H1645" s="8">
        <v>21</v>
      </c>
      <c r="I1645" s="15" t="s">
        <v>11</v>
      </c>
    </row>
    <row r="1646" spans="1:9" ht="46.8">
      <c r="A1646" s="8">
        <v>1261544</v>
      </c>
      <c r="B1646" s="8" t="s">
        <v>249</v>
      </c>
      <c r="C1646" s="35" t="s">
        <v>2861</v>
      </c>
      <c r="D1646" s="12"/>
      <c r="E1646" s="12"/>
      <c r="F1646" s="31" t="str">
        <f t="shared" si="67"/>
        <v>FamilySearch.org</v>
      </c>
      <c r="G1646" s="12"/>
      <c r="H1646" s="8">
        <v>21</v>
      </c>
      <c r="I1646" s="15" t="s">
        <v>11</v>
      </c>
    </row>
    <row r="1647" spans="1:9" ht="46.8">
      <c r="A1647" s="8">
        <v>1261561</v>
      </c>
      <c r="B1647" s="8" t="s">
        <v>249</v>
      </c>
      <c r="C1647" s="35" t="s">
        <v>2862</v>
      </c>
      <c r="D1647" s="12"/>
      <c r="E1647" s="12"/>
      <c r="F1647" s="31" t="str">
        <f t="shared" ref="F1647:F1651" si="68">HYPERLINK("https://www.familysearch.org/search/catalog/3029447","FamilySearch.org")</f>
        <v>FamilySearch.org</v>
      </c>
      <c r="G1647" s="12"/>
      <c r="H1647" s="8">
        <v>21</v>
      </c>
      <c r="I1647" s="15" t="s">
        <v>11</v>
      </c>
    </row>
    <row r="1648" spans="1:9" ht="46.8">
      <c r="A1648" s="8">
        <v>1261565</v>
      </c>
      <c r="B1648" s="8" t="s">
        <v>249</v>
      </c>
      <c r="C1648" s="35" t="s">
        <v>2863</v>
      </c>
      <c r="D1648" s="12"/>
      <c r="E1648" s="12"/>
      <c r="F1648" s="31" t="str">
        <f t="shared" si="68"/>
        <v>FamilySearch.org</v>
      </c>
      <c r="G1648" s="12"/>
      <c r="H1648" s="8">
        <v>21</v>
      </c>
      <c r="I1648" s="15" t="s">
        <v>11</v>
      </c>
    </row>
    <row r="1649" spans="1:9" ht="46.8">
      <c r="A1649" s="8">
        <v>1262766</v>
      </c>
      <c r="B1649" s="8" t="s">
        <v>249</v>
      </c>
      <c r="C1649" s="35" t="s">
        <v>2864</v>
      </c>
      <c r="D1649" s="12"/>
      <c r="E1649" s="12"/>
      <c r="F1649" s="31" t="str">
        <f t="shared" si="68"/>
        <v>FamilySearch.org</v>
      </c>
      <c r="G1649" s="12"/>
      <c r="H1649" s="8">
        <v>21</v>
      </c>
      <c r="I1649" s="15" t="s">
        <v>18</v>
      </c>
    </row>
    <row r="1650" spans="1:9" ht="46.8">
      <c r="A1650" s="8">
        <v>1262792</v>
      </c>
      <c r="B1650" s="8" t="s">
        <v>249</v>
      </c>
      <c r="C1650" s="35" t="s">
        <v>2865</v>
      </c>
      <c r="D1650" s="12"/>
      <c r="E1650" s="12"/>
      <c r="F1650" s="31" t="str">
        <f t="shared" si="68"/>
        <v>FamilySearch.org</v>
      </c>
      <c r="G1650" s="12"/>
      <c r="H1650" s="8">
        <v>21</v>
      </c>
      <c r="I1650" s="15" t="s">
        <v>11</v>
      </c>
    </row>
    <row r="1651" spans="1:9" ht="46.8">
      <c r="A1651" s="8">
        <v>1262809</v>
      </c>
      <c r="B1651" s="8" t="s">
        <v>249</v>
      </c>
      <c r="C1651" s="35" t="s">
        <v>2866</v>
      </c>
      <c r="D1651" s="12"/>
      <c r="E1651" s="12"/>
      <c r="F1651" s="31" t="str">
        <f t="shared" si="68"/>
        <v>FamilySearch.org</v>
      </c>
      <c r="G1651" s="12"/>
      <c r="H1651" s="8">
        <v>21</v>
      </c>
      <c r="I1651" s="15" t="s">
        <v>18</v>
      </c>
    </row>
    <row r="1652" spans="1:9" ht="46.8">
      <c r="A1652" s="8">
        <v>1263004</v>
      </c>
      <c r="B1652" s="8" t="s">
        <v>249</v>
      </c>
      <c r="C1652" s="35" t="s">
        <v>2867</v>
      </c>
      <c r="D1652" s="12"/>
      <c r="E1652" s="12"/>
      <c r="F1652" s="31" t="str">
        <f>HYPERLINK("https://www.familysearch.org/search/film/106041412?cat=3029447","FamilySearch.org")</f>
        <v>FamilySearch.org</v>
      </c>
      <c r="G1652" s="12"/>
      <c r="H1652" s="8">
        <v>21</v>
      </c>
      <c r="I1652" s="15" t="s">
        <v>11</v>
      </c>
    </row>
    <row r="1653" spans="1:9" ht="31.2">
      <c r="A1653" s="8">
        <v>1263018</v>
      </c>
      <c r="B1653" s="8" t="s">
        <v>249</v>
      </c>
      <c r="C1653" s="35" t="s">
        <v>2868</v>
      </c>
      <c r="D1653" s="12"/>
      <c r="E1653" s="12"/>
      <c r="F1653" s="31" t="str">
        <f>HYPERLINK("https://www.familysearch.org/search/film/106041411?cat=3029447","FamilySearch.org")</f>
        <v>FamilySearch.org</v>
      </c>
      <c r="G1653" s="12"/>
      <c r="H1653" s="8">
        <v>21</v>
      </c>
      <c r="I1653" s="15" t="s">
        <v>11</v>
      </c>
    </row>
    <row r="1654" spans="1:9" ht="46.8">
      <c r="A1654" s="29">
        <v>1275422</v>
      </c>
      <c r="B1654" s="8" t="s">
        <v>249</v>
      </c>
      <c r="C1654" s="35" t="s">
        <v>2869</v>
      </c>
      <c r="D1654" s="12"/>
      <c r="E1654" s="26" t="s">
        <v>14</v>
      </c>
      <c r="F1654" s="12"/>
      <c r="G1654" s="12"/>
      <c r="H1654" s="33">
        <v>21</v>
      </c>
      <c r="I1654" s="23" t="s">
        <v>18</v>
      </c>
    </row>
    <row r="1655" spans="1:9" ht="31.2">
      <c r="A1655" s="29">
        <v>1275754</v>
      </c>
      <c r="B1655" s="8" t="s">
        <v>249</v>
      </c>
      <c r="C1655" s="16" t="s">
        <v>2870</v>
      </c>
      <c r="D1655" s="12"/>
      <c r="E1655" s="26" t="s">
        <v>14</v>
      </c>
      <c r="F1655" s="12"/>
      <c r="G1655" s="12"/>
      <c r="H1655" s="33">
        <v>21</v>
      </c>
      <c r="I1655" s="14" t="s">
        <v>15</v>
      </c>
    </row>
    <row r="1656" spans="1:9" ht="46.8">
      <c r="A1656" s="29">
        <v>1287129</v>
      </c>
      <c r="B1656" s="8" t="s">
        <v>249</v>
      </c>
      <c r="C1656" s="16" t="s">
        <v>2871</v>
      </c>
      <c r="D1656" s="12"/>
      <c r="E1656" s="26" t="s">
        <v>14</v>
      </c>
      <c r="F1656" s="12"/>
      <c r="G1656" s="12"/>
      <c r="H1656" s="33">
        <v>21</v>
      </c>
      <c r="I1656" s="14" t="s">
        <v>15</v>
      </c>
    </row>
    <row r="1657" spans="1:9" ht="31.2">
      <c r="A1657" s="29">
        <v>1288611</v>
      </c>
      <c r="B1657" s="8" t="s">
        <v>249</v>
      </c>
      <c r="C1657" s="16" t="s">
        <v>2872</v>
      </c>
      <c r="D1657" s="12"/>
      <c r="E1657" s="26" t="s">
        <v>14</v>
      </c>
      <c r="F1657" s="12"/>
      <c r="G1657" s="12"/>
      <c r="H1657" s="33">
        <v>21</v>
      </c>
      <c r="I1657" s="14" t="s">
        <v>15</v>
      </c>
    </row>
    <row r="1658" spans="1:9" ht="31.2">
      <c r="A1658" s="29">
        <v>1307044</v>
      </c>
      <c r="B1658" s="8" t="s">
        <v>249</v>
      </c>
      <c r="C1658" s="16" t="s">
        <v>2873</v>
      </c>
      <c r="D1658" s="12"/>
      <c r="E1658" s="12"/>
      <c r="F1658" s="32" t="s">
        <v>43</v>
      </c>
      <c r="G1658" s="12"/>
      <c r="H1658" s="33">
        <v>21</v>
      </c>
      <c r="I1658" s="14" t="s">
        <v>15</v>
      </c>
    </row>
    <row r="1659" spans="1:9" ht="46.8">
      <c r="A1659" s="29">
        <v>1489167</v>
      </c>
      <c r="B1659" s="8" t="s">
        <v>249</v>
      </c>
      <c r="C1659" s="35" t="s">
        <v>2874</v>
      </c>
      <c r="D1659" s="12"/>
      <c r="E1659" s="26" t="s">
        <v>14</v>
      </c>
      <c r="F1659" s="12"/>
      <c r="G1659" s="12"/>
      <c r="H1659" s="33">
        <v>21</v>
      </c>
      <c r="I1659" s="23" t="s">
        <v>11</v>
      </c>
    </row>
    <row r="1660" spans="1:9" ht="46.8">
      <c r="A1660" s="29">
        <v>1490568</v>
      </c>
      <c r="B1660" s="8" t="s">
        <v>249</v>
      </c>
      <c r="C1660" s="49" t="str">
        <f>HYPERLINK("https://catalog.archives.gov/search?q=*:*&amp;f.ancestorNaIds=1490568&amp;sort=naIdSort%20asc","Petitions for Naturalization, Tennessee (Southern (Chattanooga) Division of the Eastern District), 1907 - 1974")</f>
        <v>Petitions for Naturalization, Tennessee (Southern (Chattanooga) Division of the Eastern District), 1907 - 1974</v>
      </c>
      <c r="D1660" s="12"/>
      <c r="E1660" s="26" t="s">
        <v>14</v>
      </c>
      <c r="F1660" s="12"/>
      <c r="G1660" s="12"/>
      <c r="H1660" s="33">
        <v>21</v>
      </c>
      <c r="I1660" s="23" t="s">
        <v>18</v>
      </c>
    </row>
    <row r="1661" spans="1:9" ht="46.8">
      <c r="A1661" s="29">
        <v>1490572</v>
      </c>
      <c r="B1661" s="8" t="s">
        <v>249</v>
      </c>
      <c r="C1661" s="49" t="str">
        <f>HYPERLINK("https://catalog.archives.gov/search?q=*:*&amp;f.ancestorNaIds=1490572&amp;sort=naIdSort%20asc","Petitions for Naturalization, Tennessee (Northern (Knoxville) Division of the Eastern District), 1929 - 1991")</f>
        <v>Petitions for Naturalization, Tennessee (Northern (Knoxville) Division of the Eastern District), 1929 - 1991</v>
      </c>
      <c r="D1661" s="12"/>
      <c r="E1661" s="26" t="s">
        <v>14</v>
      </c>
      <c r="F1661" s="12"/>
      <c r="G1661" s="12"/>
      <c r="H1661" s="33">
        <v>21</v>
      </c>
      <c r="I1661" s="23" t="s">
        <v>18</v>
      </c>
    </row>
    <row r="1662" spans="1:9" ht="46.8">
      <c r="A1662" s="29">
        <v>1490643</v>
      </c>
      <c r="B1662" s="8" t="s">
        <v>249</v>
      </c>
      <c r="C1662" s="49" t="str">
        <f>HYPERLINK("https://catalog.archives.gov/search?q=*:*&amp;f.ancestorNaIds=1490643&amp;sort=naIdSort%20asc","Petitions for Naturalization, Tennessee (Western (Memphis) Division of the Western District), 1907 - 1963")</f>
        <v>Petitions for Naturalization, Tennessee (Western (Memphis) Division of the Western District), 1907 - 1963</v>
      </c>
      <c r="D1662" s="12"/>
      <c r="E1662" s="26" t="s">
        <v>14</v>
      </c>
      <c r="F1662" s="12"/>
      <c r="G1662" s="12"/>
      <c r="H1662" s="33">
        <v>21</v>
      </c>
      <c r="I1662" s="23" t="s">
        <v>18</v>
      </c>
    </row>
    <row r="1663" spans="1:9" ht="46.8">
      <c r="A1663" s="29">
        <v>1490644</v>
      </c>
      <c r="B1663" s="8" t="s">
        <v>249</v>
      </c>
      <c r="C1663" s="49" t="str">
        <f>HYPERLINK("https://catalog.archives.gov/search?q=*:*&amp;f.ancestorNaIds=1490644&amp;sort=naIdSort%20asc","Petitions for Naturalization, Tennessee (Nashville Division of the Middle District), 1907 - 1991")</f>
        <v>Petitions for Naturalization, Tennessee (Nashville Division of the Middle District), 1907 - 1991</v>
      </c>
      <c r="D1663" s="12"/>
      <c r="E1663" s="26" t="s">
        <v>14</v>
      </c>
      <c r="F1663" s="12"/>
      <c r="G1663" s="12"/>
      <c r="H1663" s="33">
        <v>21</v>
      </c>
      <c r="I1663" s="23" t="s">
        <v>18</v>
      </c>
    </row>
    <row r="1664" spans="1:9" ht="31.2">
      <c r="A1664" s="29">
        <v>1565957</v>
      </c>
      <c r="B1664" s="8" t="s">
        <v>249</v>
      </c>
      <c r="C1664" s="16" t="s">
        <v>2875</v>
      </c>
      <c r="D1664" s="12"/>
      <c r="E1664" s="26" t="s">
        <v>14</v>
      </c>
      <c r="F1664" s="12"/>
      <c r="G1664" s="12"/>
      <c r="H1664" s="33">
        <v>337</v>
      </c>
      <c r="I1664" s="14" t="s">
        <v>15</v>
      </c>
    </row>
    <row r="1665" spans="1:9" ht="31.2">
      <c r="A1665" s="29">
        <v>1600758</v>
      </c>
      <c r="B1665" s="8" t="s">
        <v>249</v>
      </c>
      <c r="C1665" s="16" t="s">
        <v>2876</v>
      </c>
      <c r="D1665" s="12"/>
      <c r="E1665" s="12"/>
      <c r="F1665" s="32" t="s">
        <v>43</v>
      </c>
      <c r="G1665" s="12"/>
      <c r="H1665" s="33">
        <v>36</v>
      </c>
      <c r="I1665" s="14" t="s">
        <v>15</v>
      </c>
    </row>
    <row r="1666" spans="1:9" ht="31.2">
      <c r="A1666" s="29">
        <v>1600759</v>
      </c>
      <c r="B1666" s="8" t="s">
        <v>249</v>
      </c>
      <c r="C1666" s="16" t="s">
        <v>2877</v>
      </c>
      <c r="D1666" s="12"/>
      <c r="E1666" s="12"/>
      <c r="F1666" s="32" t="s">
        <v>43</v>
      </c>
      <c r="G1666" s="12"/>
      <c r="H1666" s="33">
        <v>36</v>
      </c>
      <c r="I1666" s="14" t="s">
        <v>15</v>
      </c>
    </row>
    <row r="1667" spans="1:9" ht="31.2">
      <c r="A1667" s="29">
        <v>1600870</v>
      </c>
      <c r="B1667" s="8" t="s">
        <v>249</v>
      </c>
      <c r="C1667" s="16" t="s">
        <v>2878</v>
      </c>
      <c r="D1667" s="12"/>
      <c r="E1667" s="12"/>
      <c r="F1667" s="32" t="s">
        <v>43</v>
      </c>
      <c r="G1667" s="12"/>
      <c r="H1667" s="33">
        <v>36</v>
      </c>
      <c r="I1667" s="14" t="s">
        <v>15</v>
      </c>
    </row>
    <row r="1668" spans="1:9" ht="31.2">
      <c r="A1668" s="29">
        <v>1756473</v>
      </c>
      <c r="B1668" s="8" t="s">
        <v>249</v>
      </c>
      <c r="C1668" s="16" t="s">
        <v>2879</v>
      </c>
      <c r="D1668" s="32" t="s">
        <v>220</v>
      </c>
      <c r="E1668" s="12"/>
      <c r="F1668" s="12"/>
      <c r="G1668" s="12"/>
      <c r="H1668" s="33">
        <v>45</v>
      </c>
      <c r="I1668" s="14" t="s">
        <v>15</v>
      </c>
    </row>
    <row r="1669" spans="1:9" ht="15.6">
      <c r="A1669" s="29">
        <v>1756563</v>
      </c>
      <c r="B1669" s="8" t="s">
        <v>249</v>
      </c>
      <c r="C1669" s="35" t="s">
        <v>2880</v>
      </c>
      <c r="D1669" s="32" t="s">
        <v>220</v>
      </c>
      <c r="E1669" s="12"/>
      <c r="F1669" s="12"/>
      <c r="G1669" s="12"/>
      <c r="H1669" s="33">
        <v>45</v>
      </c>
      <c r="I1669" s="14" t="s">
        <v>11</v>
      </c>
    </row>
    <row r="1670" spans="1:9" ht="31.2">
      <c r="A1670" s="29">
        <v>1938489</v>
      </c>
      <c r="B1670" s="8" t="s">
        <v>249</v>
      </c>
      <c r="C1670" s="16" t="s">
        <v>1526</v>
      </c>
      <c r="D1670" s="32" t="s">
        <v>220</v>
      </c>
      <c r="E1670" s="12"/>
      <c r="F1670" s="12"/>
      <c r="G1670" s="12"/>
      <c r="H1670" s="33">
        <v>360</v>
      </c>
      <c r="I1670" s="14" t="s">
        <v>15</v>
      </c>
    </row>
    <row r="1671" spans="1:9" ht="31.2">
      <c r="A1671" s="29">
        <v>1944204</v>
      </c>
      <c r="B1671" s="8" t="s">
        <v>249</v>
      </c>
      <c r="C1671" s="16" t="s">
        <v>2881</v>
      </c>
      <c r="D1671" s="12"/>
      <c r="E1671" s="26" t="s">
        <v>14</v>
      </c>
      <c r="F1671" s="12"/>
      <c r="G1671" s="12"/>
      <c r="H1671" s="33">
        <v>21</v>
      </c>
      <c r="I1671" s="14" t="s">
        <v>15</v>
      </c>
    </row>
    <row r="1672" spans="1:9" ht="46.8">
      <c r="A1672" s="29">
        <v>1948980</v>
      </c>
      <c r="B1672" s="8" t="s">
        <v>249</v>
      </c>
      <c r="C1672" s="16" t="s">
        <v>2882</v>
      </c>
      <c r="D1672" s="12"/>
      <c r="E1672" s="26" t="s">
        <v>14</v>
      </c>
      <c r="F1672" s="12"/>
      <c r="G1672" s="12"/>
      <c r="H1672" s="33">
        <v>21</v>
      </c>
      <c r="I1672" s="14" t="s">
        <v>15</v>
      </c>
    </row>
    <row r="1673" spans="1:9" ht="31.2">
      <c r="A1673" s="29">
        <v>1956124</v>
      </c>
      <c r="B1673" s="8" t="s">
        <v>249</v>
      </c>
      <c r="C1673" s="16" t="s">
        <v>2883</v>
      </c>
      <c r="D1673" s="12"/>
      <c r="E1673" s="26" t="s">
        <v>14</v>
      </c>
      <c r="F1673" s="12"/>
      <c r="G1673" s="12"/>
      <c r="H1673" s="33">
        <v>21</v>
      </c>
      <c r="I1673" s="14" t="s">
        <v>15</v>
      </c>
    </row>
    <row r="1674" spans="1:9" ht="31.2">
      <c r="A1674" s="29">
        <v>1956129</v>
      </c>
      <c r="B1674" s="8" t="s">
        <v>249</v>
      </c>
      <c r="C1674" s="16" t="s">
        <v>2884</v>
      </c>
      <c r="D1674" s="12"/>
      <c r="E1674" s="26" t="s">
        <v>14</v>
      </c>
      <c r="F1674" s="12"/>
      <c r="G1674" s="12"/>
      <c r="H1674" s="33">
        <v>21</v>
      </c>
      <c r="I1674" s="14" t="s">
        <v>15</v>
      </c>
    </row>
    <row r="1675" spans="1:9" ht="46.8">
      <c r="A1675" s="29">
        <v>1956178</v>
      </c>
      <c r="B1675" s="8" t="s">
        <v>249</v>
      </c>
      <c r="C1675" s="16" t="s">
        <v>2885</v>
      </c>
      <c r="D1675" s="12"/>
      <c r="E1675" s="26" t="s">
        <v>14</v>
      </c>
      <c r="F1675" s="12"/>
      <c r="G1675" s="12"/>
      <c r="H1675" s="33">
        <v>21</v>
      </c>
      <c r="I1675" s="14" t="s">
        <v>15</v>
      </c>
    </row>
    <row r="1676" spans="1:9" ht="31.2">
      <c r="A1676" s="29">
        <v>1958615</v>
      </c>
      <c r="B1676" s="8" t="s">
        <v>249</v>
      </c>
      <c r="C1676" s="16" t="s">
        <v>2886</v>
      </c>
      <c r="D1676" s="12"/>
      <c r="E1676" s="26" t="s">
        <v>14</v>
      </c>
      <c r="F1676" s="12"/>
      <c r="G1676" s="12"/>
      <c r="H1676" s="33">
        <v>21</v>
      </c>
      <c r="I1676" s="14" t="s">
        <v>15</v>
      </c>
    </row>
    <row r="1677" spans="1:9" ht="31.2">
      <c r="A1677" s="29">
        <v>2111786</v>
      </c>
      <c r="B1677" s="8" t="s">
        <v>249</v>
      </c>
      <c r="C1677" s="16" t="s">
        <v>2887</v>
      </c>
      <c r="D1677" s="12"/>
      <c r="E1677" s="26" t="s">
        <v>14</v>
      </c>
      <c r="F1677" s="12"/>
      <c r="G1677" s="12"/>
      <c r="H1677" s="33">
        <v>21</v>
      </c>
      <c r="I1677" s="14" t="s">
        <v>15</v>
      </c>
    </row>
    <row r="1678" spans="1:9" ht="31.2">
      <c r="A1678" s="29">
        <v>2111787</v>
      </c>
      <c r="B1678" s="8" t="s">
        <v>249</v>
      </c>
      <c r="C1678" s="16" t="s">
        <v>2888</v>
      </c>
      <c r="D1678" s="12"/>
      <c r="E1678" s="26" t="s">
        <v>14</v>
      </c>
      <c r="F1678" s="12"/>
      <c r="G1678" s="12"/>
      <c r="H1678" s="33">
        <v>21</v>
      </c>
      <c r="I1678" s="14" t="s">
        <v>15</v>
      </c>
    </row>
    <row r="1679" spans="1:9" ht="31.2">
      <c r="A1679" s="29">
        <v>2111788</v>
      </c>
      <c r="B1679" s="8" t="s">
        <v>249</v>
      </c>
      <c r="C1679" s="16" t="s">
        <v>2889</v>
      </c>
      <c r="D1679" s="12"/>
      <c r="E1679" s="26" t="s">
        <v>14</v>
      </c>
      <c r="F1679" s="12"/>
      <c r="G1679" s="12"/>
      <c r="H1679" s="33">
        <v>21</v>
      </c>
      <c r="I1679" s="14" t="s">
        <v>15</v>
      </c>
    </row>
    <row r="1680" spans="1:9" ht="31.2">
      <c r="A1680" s="29">
        <v>2111793</v>
      </c>
      <c r="B1680" s="8" t="s">
        <v>249</v>
      </c>
      <c r="C1680" s="54" t="s">
        <v>2890</v>
      </c>
      <c r="D1680" s="12"/>
      <c r="E1680" s="26" t="s">
        <v>14</v>
      </c>
      <c r="F1680" s="12"/>
      <c r="G1680" s="12"/>
      <c r="H1680" s="33">
        <v>21</v>
      </c>
      <c r="I1680" s="23" t="s">
        <v>18</v>
      </c>
    </row>
    <row r="1681" spans="1:9" ht="31.2">
      <c r="A1681" s="29">
        <v>2111795</v>
      </c>
      <c r="B1681" s="8" t="s">
        <v>249</v>
      </c>
      <c r="C1681" s="54" t="s">
        <v>2891</v>
      </c>
      <c r="D1681" s="12"/>
      <c r="E1681" s="26" t="s">
        <v>14</v>
      </c>
      <c r="F1681" s="12"/>
      <c r="G1681" s="12"/>
      <c r="H1681" s="33">
        <v>21</v>
      </c>
      <c r="I1681" s="23" t="s">
        <v>18</v>
      </c>
    </row>
    <row r="1682" spans="1:9" ht="31.2">
      <c r="A1682" s="29">
        <v>2111797</v>
      </c>
      <c r="B1682" s="8" t="s">
        <v>249</v>
      </c>
      <c r="C1682" s="35" t="s">
        <v>2892</v>
      </c>
      <c r="D1682" s="12"/>
      <c r="E1682" s="26" t="s">
        <v>14</v>
      </c>
      <c r="F1682" s="12"/>
      <c r="G1682" s="12"/>
      <c r="H1682" s="33">
        <v>21</v>
      </c>
      <c r="I1682" s="23" t="s">
        <v>18</v>
      </c>
    </row>
    <row r="1683" spans="1:9" ht="31.2">
      <c r="A1683" s="29">
        <v>2111801</v>
      </c>
      <c r="B1683" s="8" t="s">
        <v>249</v>
      </c>
      <c r="C1683" s="35" t="s">
        <v>2893</v>
      </c>
      <c r="D1683" s="12"/>
      <c r="E1683" s="26" t="s">
        <v>14</v>
      </c>
      <c r="F1683" s="12"/>
      <c r="G1683" s="12"/>
      <c r="H1683" s="33">
        <v>21</v>
      </c>
      <c r="I1683" s="23" t="s">
        <v>18</v>
      </c>
    </row>
    <row r="1684" spans="1:9" ht="31.2">
      <c r="A1684" s="29">
        <v>2112002</v>
      </c>
      <c r="B1684" s="8" t="s">
        <v>249</v>
      </c>
      <c r="C1684" s="16" t="s">
        <v>2894</v>
      </c>
      <c r="D1684" s="12"/>
      <c r="E1684" s="26" t="s">
        <v>14</v>
      </c>
      <c r="F1684" s="12"/>
      <c r="G1684" s="12"/>
      <c r="H1684" s="33">
        <v>21</v>
      </c>
      <c r="I1684" s="14" t="s">
        <v>15</v>
      </c>
    </row>
    <row r="1685" spans="1:9" ht="31.2">
      <c r="A1685" s="29">
        <v>2113090</v>
      </c>
      <c r="B1685" s="8" t="s">
        <v>249</v>
      </c>
      <c r="C1685" s="16" t="s">
        <v>2895</v>
      </c>
      <c r="D1685" s="12"/>
      <c r="E1685" s="26" t="s">
        <v>14</v>
      </c>
      <c r="F1685" s="12"/>
      <c r="G1685" s="12"/>
      <c r="H1685" s="33">
        <v>21</v>
      </c>
      <c r="I1685" s="14" t="s">
        <v>15</v>
      </c>
    </row>
    <row r="1686" spans="1:9" ht="46.8">
      <c r="A1686" s="29">
        <v>2116204</v>
      </c>
      <c r="B1686" s="8" t="s">
        <v>249</v>
      </c>
      <c r="C1686" s="16" t="s">
        <v>2896</v>
      </c>
      <c r="D1686" s="12"/>
      <c r="E1686" s="26" t="s">
        <v>14</v>
      </c>
      <c r="F1686" s="12"/>
      <c r="G1686" s="12"/>
      <c r="H1686" s="33">
        <v>21</v>
      </c>
      <c r="I1686" s="14" t="s">
        <v>15</v>
      </c>
    </row>
    <row r="1687" spans="1:9" ht="46.8">
      <c r="A1687" s="29">
        <v>2116639</v>
      </c>
      <c r="B1687" s="8" t="s">
        <v>249</v>
      </c>
      <c r="C1687" s="16" t="s">
        <v>2897</v>
      </c>
      <c r="D1687" s="12"/>
      <c r="E1687" s="26" t="s">
        <v>14</v>
      </c>
      <c r="F1687" s="12"/>
      <c r="G1687" s="12"/>
      <c r="H1687" s="33">
        <v>21</v>
      </c>
      <c r="I1687" s="14" t="s">
        <v>15</v>
      </c>
    </row>
    <row r="1688" spans="1:9" ht="46.8">
      <c r="A1688" s="29">
        <v>2117247</v>
      </c>
      <c r="B1688" s="8" t="s">
        <v>249</v>
      </c>
      <c r="C1688" s="35" t="s">
        <v>2898</v>
      </c>
      <c r="D1688" s="12"/>
      <c r="E1688" s="26" t="s">
        <v>14</v>
      </c>
      <c r="F1688" s="12"/>
      <c r="G1688" s="12"/>
      <c r="H1688" s="33">
        <v>21</v>
      </c>
      <c r="I1688" s="23" t="s">
        <v>18</v>
      </c>
    </row>
    <row r="1689" spans="1:9" ht="46.8">
      <c r="A1689" s="29">
        <v>2117769</v>
      </c>
      <c r="B1689" s="8" t="s">
        <v>249</v>
      </c>
      <c r="C1689" s="35" t="s">
        <v>2899</v>
      </c>
      <c r="D1689" s="12"/>
      <c r="E1689" s="26" t="s">
        <v>14</v>
      </c>
      <c r="F1689" s="12"/>
      <c r="G1689" s="12"/>
      <c r="H1689" s="33">
        <v>21</v>
      </c>
      <c r="I1689" s="23" t="s">
        <v>18</v>
      </c>
    </row>
    <row r="1690" spans="1:9" ht="46.8">
      <c r="A1690" s="29">
        <v>2118215</v>
      </c>
      <c r="B1690" s="8" t="s">
        <v>249</v>
      </c>
      <c r="C1690" s="35" t="s">
        <v>2900</v>
      </c>
      <c r="D1690" s="12"/>
      <c r="E1690" s="26" t="s">
        <v>14</v>
      </c>
      <c r="F1690" s="12"/>
      <c r="G1690" s="12"/>
      <c r="H1690" s="33">
        <v>21</v>
      </c>
      <c r="I1690" s="23" t="s">
        <v>11</v>
      </c>
    </row>
    <row r="1691" spans="1:9" ht="46.8">
      <c r="A1691" s="29">
        <v>2118217</v>
      </c>
      <c r="B1691" s="8" t="s">
        <v>249</v>
      </c>
      <c r="C1691" s="16" t="s">
        <v>2901</v>
      </c>
      <c r="D1691" s="12"/>
      <c r="E1691" s="26" t="s">
        <v>14</v>
      </c>
      <c r="F1691" s="12"/>
      <c r="G1691" s="12"/>
      <c r="H1691" s="33">
        <v>21</v>
      </c>
      <c r="I1691" s="14" t="s">
        <v>15</v>
      </c>
    </row>
    <row r="1692" spans="1:9" ht="46.8">
      <c r="A1692" s="29">
        <v>2118219</v>
      </c>
      <c r="B1692" s="8" t="s">
        <v>249</v>
      </c>
      <c r="C1692" s="35" t="s">
        <v>2902</v>
      </c>
      <c r="D1692" s="12"/>
      <c r="E1692" s="26" t="s">
        <v>14</v>
      </c>
      <c r="F1692" s="12"/>
      <c r="G1692" s="12"/>
      <c r="H1692" s="33">
        <v>21</v>
      </c>
      <c r="I1692" s="23" t="s">
        <v>18</v>
      </c>
    </row>
    <row r="1693" spans="1:9" ht="31.2">
      <c r="A1693" s="8">
        <v>2124205</v>
      </c>
      <c r="B1693" s="8" t="s">
        <v>249</v>
      </c>
      <c r="C1693" s="37" t="s">
        <v>2903</v>
      </c>
      <c r="D1693" s="12"/>
      <c r="E1693" s="12"/>
      <c r="F1693" s="28" t="s">
        <v>43</v>
      </c>
      <c r="G1693" s="12"/>
      <c r="H1693" s="8">
        <v>75</v>
      </c>
      <c r="I1693" s="7" t="s">
        <v>15</v>
      </c>
    </row>
    <row r="1694" spans="1:9" ht="46.8">
      <c r="A1694" s="29">
        <v>2143320</v>
      </c>
      <c r="B1694" s="8" t="s">
        <v>249</v>
      </c>
      <c r="C1694" s="16" t="s">
        <v>2904</v>
      </c>
      <c r="D1694" s="12"/>
      <c r="E1694" s="26" t="s">
        <v>14</v>
      </c>
      <c r="F1694" s="12"/>
      <c r="G1694" s="12"/>
      <c r="H1694" s="33">
        <v>21</v>
      </c>
      <c r="I1694" s="14" t="s">
        <v>15</v>
      </c>
    </row>
    <row r="1695" spans="1:9" ht="31.2">
      <c r="A1695" s="29">
        <v>2143321</v>
      </c>
      <c r="B1695" s="8" t="s">
        <v>249</v>
      </c>
      <c r="C1695" s="16" t="s">
        <v>2905</v>
      </c>
      <c r="D1695" s="12"/>
      <c r="E1695" s="26" t="s">
        <v>14</v>
      </c>
      <c r="F1695" s="12"/>
      <c r="G1695" s="12"/>
      <c r="H1695" s="33">
        <v>21</v>
      </c>
      <c r="I1695" s="14" t="s">
        <v>15</v>
      </c>
    </row>
    <row r="1696" spans="1:9" ht="31.2">
      <c r="A1696" s="29">
        <v>2165745</v>
      </c>
      <c r="B1696" s="8" t="s">
        <v>249</v>
      </c>
      <c r="C1696" s="16" t="s">
        <v>281</v>
      </c>
      <c r="D1696" s="12"/>
      <c r="E1696" s="26" t="s">
        <v>14</v>
      </c>
      <c r="F1696" s="12"/>
      <c r="G1696" s="12"/>
      <c r="H1696" s="33">
        <v>21</v>
      </c>
      <c r="I1696" s="14" t="s">
        <v>15</v>
      </c>
    </row>
    <row r="1697" spans="1:9" ht="46.8">
      <c r="A1697" s="29">
        <v>2165768</v>
      </c>
      <c r="B1697" s="8" t="s">
        <v>249</v>
      </c>
      <c r="C1697" s="16" t="s">
        <v>2906</v>
      </c>
      <c r="D1697" s="12"/>
      <c r="E1697" s="26" t="s">
        <v>14</v>
      </c>
      <c r="F1697" s="12"/>
      <c r="G1697" s="12"/>
      <c r="H1697" s="33">
        <v>21</v>
      </c>
      <c r="I1697" s="14" t="s">
        <v>15</v>
      </c>
    </row>
    <row r="1698" spans="1:9" ht="46.8">
      <c r="A1698" s="29">
        <v>2165779</v>
      </c>
      <c r="B1698" s="8" t="s">
        <v>249</v>
      </c>
      <c r="C1698" s="16" t="s">
        <v>2907</v>
      </c>
      <c r="D1698" s="12"/>
      <c r="E1698" s="26" t="s">
        <v>14</v>
      </c>
      <c r="F1698" s="12"/>
      <c r="G1698" s="12"/>
      <c r="H1698" s="33">
        <v>21</v>
      </c>
      <c r="I1698" s="14" t="s">
        <v>15</v>
      </c>
    </row>
    <row r="1699" spans="1:9" ht="31.2">
      <c r="A1699" s="29">
        <v>2169533</v>
      </c>
      <c r="B1699" s="8" t="s">
        <v>249</v>
      </c>
      <c r="C1699" s="34" t="s">
        <v>2908</v>
      </c>
      <c r="D1699" s="12"/>
      <c r="E1699" s="26" t="s">
        <v>14</v>
      </c>
      <c r="F1699" s="32" t="s">
        <v>43</v>
      </c>
      <c r="G1699" s="12"/>
      <c r="H1699" s="33">
        <v>147</v>
      </c>
      <c r="I1699" s="14" t="s">
        <v>11</v>
      </c>
    </row>
    <row r="1700" spans="1:9" ht="31.2">
      <c r="A1700" s="29">
        <v>2169763</v>
      </c>
      <c r="B1700" s="8" t="s">
        <v>249</v>
      </c>
      <c r="C1700" s="34" t="s">
        <v>2909</v>
      </c>
      <c r="D1700" s="32" t="s">
        <v>220</v>
      </c>
      <c r="E1700" s="26" t="s">
        <v>14</v>
      </c>
      <c r="F1700" s="32" t="s">
        <v>43</v>
      </c>
      <c r="G1700" s="12"/>
      <c r="H1700" s="33">
        <v>147</v>
      </c>
      <c r="I1700" s="14" t="s">
        <v>11</v>
      </c>
    </row>
    <row r="1701" spans="1:9" ht="31.2">
      <c r="A1701" s="36">
        <v>2169774</v>
      </c>
      <c r="B1701" s="8" t="s">
        <v>249</v>
      </c>
      <c r="C1701" s="85" t="s">
        <v>2910</v>
      </c>
      <c r="D1701" s="32" t="s">
        <v>220</v>
      </c>
      <c r="E1701" s="32" t="str">
        <f t="shared" ref="E1701:E1702" si="69">HYPERLINK("https://search.ancestryinstitution.com/search/db.aspx?dbid=2238","Ancestry.com")</f>
        <v>Ancestry.com</v>
      </c>
      <c r="F1701" s="32" t="str">
        <f>HYPERLINK("https://www.familysearch.org/search/collection/2710650","FamilySearch.org")</f>
        <v>FamilySearch.org</v>
      </c>
      <c r="G1701" s="12"/>
      <c r="H1701" s="33">
        <v>147</v>
      </c>
      <c r="I1701" s="14" t="s">
        <v>15</v>
      </c>
    </row>
    <row r="1702" spans="1:9" ht="15.6">
      <c r="A1702" s="36">
        <v>2169790</v>
      </c>
      <c r="B1702" s="8" t="s">
        <v>249</v>
      </c>
      <c r="C1702" s="34" t="s">
        <v>2911</v>
      </c>
      <c r="D1702" s="32" t="s">
        <v>220</v>
      </c>
      <c r="E1702" s="32" t="str">
        <f t="shared" si="69"/>
        <v>Ancestry.com</v>
      </c>
      <c r="F1702" s="32" t="str">
        <f>HYPERLINK("https://www.familysearch.org/search/catalog/2729394","FamilySearch.org")</f>
        <v>FamilySearch.org</v>
      </c>
      <c r="G1702" s="12"/>
      <c r="H1702" s="33">
        <v>147</v>
      </c>
      <c r="I1702" s="14" t="s">
        <v>11</v>
      </c>
    </row>
    <row r="1703" spans="1:9" ht="31.2">
      <c r="A1703" s="29">
        <v>2173189</v>
      </c>
      <c r="B1703" s="8" t="s">
        <v>249</v>
      </c>
      <c r="C1703" s="34" t="s">
        <v>2912</v>
      </c>
      <c r="D1703" s="12"/>
      <c r="E1703" s="26" t="s">
        <v>14</v>
      </c>
      <c r="F1703" s="26" t="s">
        <v>43</v>
      </c>
      <c r="G1703" s="12"/>
      <c r="H1703" s="33">
        <v>147</v>
      </c>
      <c r="I1703" s="14" t="s">
        <v>11</v>
      </c>
    </row>
    <row r="1704" spans="1:9" ht="46.8">
      <c r="A1704" s="29">
        <v>2173193</v>
      </c>
      <c r="B1704" s="8" t="s">
        <v>249</v>
      </c>
      <c r="C1704" s="34" t="s">
        <v>2913</v>
      </c>
      <c r="D1704" s="12"/>
      <c r="E1704" s="26" t="s">
        <v>14</v>
      </c>
      <c r="F1704" s="26" t="s">
        <v>43</v>
      </c>
      <c r="G1704" s="12"/>
      <c r="H1704" s="33">
        <v>147</v>
      </c>
      <c r="I1704" s="14" t="s">
        <v>2628</v>
      </c>
    </row>
    <row r="1705" spans="1:9" ht="46.8">
      <c r="A1705" s="29">
        <v>2209129</v>
      </c>
      <c r="B1705" s="8" t="s">
        <v>249</v>
      </c>
      <c r="C1705" s="16" t="s">
        <v>2914</v>
      </c>
      <c r="D1705" s="12"/>
      <c r="E1705" s="26" t="s">
        <v>14</v>
      </c>
      <c r="F1705" s="12"/>
      <c r="G1705" s="12"/>
      <c r="H1705" s="33">
        <v>21</v>
      </c>
      <c r="I1705" s="14" t="s">
        <v>15</v>
      </c>
    </row>
    <row r="1706" spans="1:9" ht="46.8">
      <c r="A1706" s="29">
        <v>2209168</v>
      </c>
      <c r="B1706" s="8" t="s">
        <v>249</v>
      </c>
      <c r="C1706" s="16" t="s">
        <v>2915</v>
      </c>
      <c r="D1706" s="12"/>
      <c r="E1706" s="26" t="s">
        <v>14</v>
      </c>
      <c r="F1706" s="12"/>
      <c r="G1706" s="12"/>
      <c r="H1706" s="33">
        <v>21</v>
      </c>
      <c r="I1706" s="14" t="s">
        <v>15</v>
      </c>
    </row>
    <row r="1707" spans="1:9" ht="46.8">
      <c r="A1707" s="29">
        <v>2209704</v>
      </c>
      <c r="B1707" s="8" t="s">
        <v>249</v>
      </c>
      <c r="C1707" s="16" t="s">
        <v>2916</v>
      </c>
      <c r="D1707" s="12"/>
      <c r="E1707" s="26" t="s">
        <v>14</v>
      </c>
      <c r="F1707" s="12"/>
      <c r="G1707" s="12"/>
      <c r="H1707" s="33">
        <v>21</v>
      </c>
      <c r="I1707" s="14" t="s">
        <v>15</v>
      </c>
    </row>
    <row r="1708" spans="1:9" ht="46.8">
      <c r="A1708" s="8">
        <v>2216729</v>
      </c>
      <c r="B1708" s="8" t="s">
        <v>249</v>
      </c>
      <c r="C1708" s="35" t="s">
        <v>2917</v>
      </c>
      <c r="D1708" s="12"/>
      <c r="E1708" s="12"/>
      <c r="F1708" s="31" t="s">
        <v>14</v>
      </c>
      <c r="G1708" s="12"/>
      <c r="H1708" s="8">
        <v>21</v>
      </c>
      <c r="I1708" s="15" t="s">
        <v>18</v>
      </c>
    </row>
    <row r="1709" spans="1:9" ht="31.2">
      <c r="A1709" s="29">
        <v>2216867</v>
      </c>
      <c r="B1709" s="8" t="s">
        <v>249</v>
      </c>
      <c r="C1709" s="35" t="s">
        <v>2918</v>
      </c>
      <c r="D1709" s="12"/>
      <c r="E1709" s="26" t="s">
        <v>14</v>
      </c>
      <c r="F1709" s="12"/>
      <c r="G1709" s="12"/>
      <c r="H1709" s="33">
        <v>21</v>
      </c>
      <c r="I1709" s="23" t="s">
        <v>18</v>
      </c>
    </row>
    <row r="1710" spans="1:9" ht="46.8">
      <c r="A1710" s="29">
        <v>2217062</v>
      </c>
      <c r="B1710" s="8" t="s">
        <v>249</v>
      </c>
      <c r="C1710" s="35" t="s">
        <v>2919</v>
      </c>
      <c r="D1710" s="12"/>
      <c r="E1710" s="26" t="s">
        <v>14</v>
      </c>
      <c r="F1710" s="12"/>
      <c r="G1710" s="12"/>
      <c r="H1710" s="33">
        <v>21</v>
      </c>
      <c r="I1710" s="23" t="s">
        <v>18</v>
      </c>
    </row>
    <row r="1711" spans="1:9" ht="46.8">
      <c r="A1711" s="29">
        <v>2217064</v>
      </c>
      <c r="B1711" s="8" t="s">
        <v>249</v>
      </c>
      <c r="C1711" s="35" t="s">
        <v>2920</v>
      </c>
      <c r="D1711" s="12"/>
      <c r="E1711" s="26" t="s">
        <v>14</v>
      </c>
      <c r="F1711" s="12"/>
      <c r="G1711" s="12"/>
      <c r="H1711" s="33">
        <v>21</v>
      </c>
      <c r="I1711" s="14" t="s">
        <v>11</v>
      </c>
    </row>
    <row r="1712" spans="1:9" ht="46.8">
      <c r="A1712" s="29">
        <v>2217068</v>
      </c>
      <c r="B1712" s="8" t="s">
        <v>249</v>
      </c>
      <c r="C1712" s="35" t="s">
        <v>2921</v>
      </c>
      <c r="D1712" s="12"/>
      <c r="E1712" s="26" t="s">
        <v>14</v>
      </c>
      <c r="F1712" s="12"/>
      <c r="G1712" s="12"/>
      <c r="H1712" s="33">
        <v>21</v>
      </c>
      <c r="I1712" s="23" t="s">
        <v>11</v>
      </c>
    </row>
    <row r="1713" spans="1:9" ht="46.8">
      <c r="A1713" s="29">
        <v>2228501</v>
      </c>
      <c r="B1713" s="8" t="s">
        <v>249</v>
      </c>
      <c r="C1713" s="16" t="s">
        <v>2922</v>
      </c>
      <c r="D1713" s="12"/>
      <c r="E1713" s="26" t="s">
        <v>14</v>
      </c>
      <c r="F1713" s="12"/>
      <c r="G1713" s="12"/>
      <c r="H1713" s="33">
        <v>21</v>
      </c>
      <c r="I1713" s="14" t="s">
        <v>15</v>
      </c>
    </row>
    <row r="1714" spans="1:9" ht="31.2">
      <c r="A1714" s="29">
        <v>2240930</v>
      </c>
      <c r="B1714" s="8" t="s">
        <v>249</v>
      </c>
      <c r="C1714" s="16" t="s">
        <v>2923</v>
      </c>
      <c r="D1714" s="12"/>
      <c r="E1714" s="26" t="s">
        <v>14</v>
      </c>
      <c r="F1714" s="12"/>
      <c r="G1714" s="12"/>
      <c r="H1714" s="33">
        <v>21</v>
      </c>
      <c r="I1714" s="14" t="s">
        <v>15</v>
      </c>
    </row>
    <row r="1715" spans="1:9" ht="31.2">
      <c r="A1715" s="29">
        <v>2240932</v>
      </c>
      <c r="B1715" s="8" t="s">
        <v>249</v>
      </c>
      <c r="C1715" s="16" t="s">
        <v>2924</v>
      </c>
      <c r="D1715" s="12"/>
      <c r="E1715" s="26" t="s">
        <v>14</v>
      </c>
      <c r="F1715" s="12"/>
      <c r="G1715" s="12"/>
      <c r="H1715" s="33">
        <v>21</v>
      </c>
      <c r="I1715" s="14" t="s">
        <v>15</v>
      </c>
    </row>
    <row r="1716" spans="1:9" ht="31.2">
      <c r="A1716" s="29">
        <v>2240933</v>
      </c>
      <c r="B1716" s="8" t="s">
        <v>249</v>
      </c>
      <c r="C1716" s="16" t="s">
        <v>2925</v>
      </c>
      <c r="D1716" s="12"/>
      <c r="E1716" s="26" t="s">
        <v>14</v>
      </c>
      <c r="F1716" s="12"/>
      <c r="G1716" s="12"/>
      <c r="H1716" s="33">
        <v>21</v>
      </c>
      <c r="I1716" s="14" t="s">
        <v>15</v>
      </c>
    </row>
    <row r="1717" spans="1:9" ht="46.8">
      <c r="A1717" s="29">
        <v>2251410</v>
      </c>
      <c r="B1717" s="8" t="s">
        <v>249</v>
      </c>
      <c r="C1717" s="16" t="s">
        <v>2926</v>
      </c>
      <c r="D1717" s="12"/>
      <c r="E1717" s="26" t="s">
        <v>14</v>
      </c>
      <c r="F1717" s="12"/>
      <c r="G1717" s="12"/>
      <c r="H1717" s="33">
        <v>21</v>
      </c>
      <c r="I1717" s="14" t="s">
        <v>15</v>
      </c>
    </row>
    <row r="1718" spans="1:9" ht="15.6">
      <c r="A1718" s="8">
        <v>2252274</v>
      </c>
      <c r="B1718" s="8" t="s">
        <v>249</v>
      </c>
      <c r="C1718" s="54" t="str">
        <f>HYPERLINK("https://catalog.archives.gov/search?q=*:*&amp;f.ancestorNaIds=2252274&amp;sort=naIdSort%20asc","Serial Register Books (Alaska), 1895-1983")</f>
        <v>Serial Register Books (Alaska), 1895-1983</v>
      </c>
      <c r="D1718" s="12"/>
      <c r="E1718" s="12"/>
      <c r="F1718" s="31" t="str">
        <f>HYPERLINK("https://www.familysearch.org/search/catalog/2835350","FamilySearch.org")</f>
        <v>FamilySearch.org</v>
      </c>
      <c r="G1718" s="12"/>
      <c r="H1718" s="8">
        <v>49</v>
      </c>
      <c r="I1718" s="15" t="s">
        <v>18</v>
      </c>
    </row>
    <row r="1719" spans="1:9" ht="46.8">
      <c r="A1719" s="29">
        <v>2261241</v>
      </c>
      <c r="B1719" s="8" t="s">
        <v>249</v>
      </c>
      <c r="C1719" s="16" t="s">
        <v>2927</v>
      </c>
      <c r="D1719" s="12"/>
      <c r="E1719" s="26" t="s">
        <v>14</v>
      </c>
      <c r="F1719" s="12"/>
      <c r="G1719" s="12"/>
      <c r="H1719" s="33">
        <v>21</v>
      </c>
      <c r="I1719" s="14" t="s">
        <v>15</v>
      </c>
    </row>
    <row r="1720" spans="1:9" ht="46.8">
      <c r="A1720" s="29">
        <v>2285195</v>
      </c>
      <c r="B1720" s="8" t="s">
        <v>249</v>
      </c>
      <c r="C1720" s="16" t="s">
        <v>2928</v>
      </c>
      <c r="D1720" s="12"/>
      <c r="E1720" s="26" t="s">
        <v>14</v>
      </c>
      <c r="F1720" s="12"/>
      <c r="G1720" s="12"/>
      <c r="H1720" s="33">
        <v>21</v>
      </c>
      <c r="I1720" s="14" t="s">
        <v>15</v>
      </c>
    </row>
    <row r="1721" spans="1:9" ht="46.8">
      <c r="A1721" s="29">
        <v>2285201</v>
      </c>
      <c r="B1721" s="8" t="s">
        <v>249</v>
      </c>
      <c r="C1721" s="35" t="s">
        <v>2929</v>
      </c>
      <c r="D1721" s="12"/>
      <c r="E1721" s="26" t="s">
        <v>14</v>
      </c>
      <c r="F1721" s="12"/>
      <c r="G1721" s="12"/>
      <c r="H1721" s="33">
        <v>21</v>
      </c>
      <c r="I1721" s="14" t="s">
        <v>18</v>
      </c>
    </row>
    <row r="1722" spans="1:9" ht="46.8">
      <c r="A1722" s="29">
        <v>2292803</v>
      </c>
      <c r="B1722" s="8" t="s">
        <v>249</v>
      </c>
      <c r="C1722" s="35" t="s">
        <v>2930</v>
      </c>
      <c r="D1722" s="12"/>
      <c r="E1722" s="26" t="s">
        <v>14</v>
      </c>
      <c r="F1722" s="12"/>
      <c r="G1722" s="12"/>
      <c r="H1722" s="33">
        <v>21</v>
      </c>
      <c r="I1722" s="14" t="s">
        <v>15</v>
      </c>
    </row>
    <row r="1723" spans="1:9" ht="46.8">
      <c r="A1723" s="29">
        <v>2363802</v>
      </c>
      <c r="B1723" s="8" t="s">
        <v>249</v>
      </c>
      <c r="C1723" s="16" t="s">
        <v>2931</v>
      </c>
      <c r="D1723" s="12"/>
      <c r="E1723" s="26" t="s">
        <v>14</v>
      </c>
      <c r="F1723" s="12"/>
      <c r="G1723" s="12"/>
      <c r="H1723" s="33">
        <v>21</v>
      </c>
      <c r="I1723" s="14" t="s">
        <v>15</v>
      </c>
    </row>
    <row r="1724" spans="1:9" ht="46.8">
      <c r="A1724" s="29">
        <v>2385487</v>
      </c>
      <c r="B1724" s="8" t="s">
        <v>249</v>
      </c>
      <c r="C1724" s="16" t="s">
        <v>2932</v>
      </c>
      <c r="D1724" s="12"/>
      <c r="E1724" s="26" t="s">
        <v>14</v>
      </c>
      <c r="F1724" s="12"/>
      <c r="G1724" s="12"/>
      <c r="H1724" s="33">
        <v>21</v>
      </c>
      <c r="I1724" s="14" t="s">
        <v>15</v>
      </c>
    </row>
    <row r="1725" spans="1:9" ht="46.8">
      <c r="A1725" s="29">
        <v>2385488</v>
      </c>
      <c r="B1725" s="8" t="s">
        <v>249</v>
      </c>
      <c r="C1725" s="16" t="s">
        <v>2933</v>
      </c>
      <c r="D1725" s="12"/>
      <c r="E1725" s="26" t="s">
        <v>14</v>
      </c>
      <c r="F1725" s="12"/>
      <c r="G1725" s="12"/>
      <c r="H1725" s="33">
        <v>21</v>
      </c>
      <c r="I1725" s="14" t="s">
        <v>15</v>
      </c>
    </row>
    <row r="1726" spans="1:9" ht="46.8">
      <c r="A1726" s="29">
        <v>2385489</v>
      </c>
      <c r="B1726" s="8" t="s">
        <v>249</v>
      </c>
      <c r="C1726" s="16" t="s">
        <v>2934</v>
      </c>
      <c r="D1726" s="12"/>
      <c r="E1726" s="26" t="s">
        <v>14</v>
      </c>
      <c r="F1726" s="12"/>
      <c r="G1726" s="12"/>
      <c r="H1726" s="33">
        <v>21</v>
      </c>
      <c r="I1726" s="14" t="s">
        <v>15</v>
      </c>
    </row>
    <row r="1727" spans="1:9" ht="46.8">
      <c r="A1727" s="29">
        <v>2385492</v>
      </c>
      <c r="B1727" s="8" t="s">
        <v>249</v>
      </c>
      <c r="C1727" s="35" t="s">
        <v>2935</v>
      </c>
      <c r="D1727" s="12"/>
      <c r="E1727" s="26" t="s">
        <v>14</v>
      </c>
      <c r="F1727" s="12"/>
      <c r="G1727" s="12"/>
      <c r="H1727" s="33">
        <v>21</v>
      </c>
      <c r="I1727" s="14" t="s">
        <v>11</v>
      </c>
    </row>
    <row r="1728" spans="1:9" ht="46.8">
      <c r="A1728" s="29">
        <v>2385493</v>
      </c>
      <c r="B1728" s="8" t="s">
        <v>249</v>
      </c>
      <c r="C1728" s="35" t="s">
        <v>2936</v>
      </c>
      <c r="D1728" s="12"/>
      <c r="E1728" s="26" t="s">
        <v>14</v>
      </c>
      <c r="F1728" s="12"/>
      <c r="G1728" s="12"/>
      <c r="H1728" s="33">
        <v>21</v>
      </c>
      <c r="I1728" s="14" t="s">
        <v>11</v>
      </c>
    </row>
    <row r="1729" spans="1:9" ht="46.8">
      <c r="A1729" s="29">
        <v>2387434</v>
      </c>
      <c r="B1729" s="8" t="s">
        <v>249</v>
      </c>
      <c r="C1729" s="16" t="s">
        <v>2937</v>
      </c>
      <c r="D1729" s="12"/>
      <c r="E1729" s="26" t="s">
        <v>14</v>
      </c>
      <c r="F1729" s="12"/>
      <c r="G1729" s="12"/>
      <c r="H1729" s="33">
        <v>21</v>
      </c>
      <c r="I1729" s="14" t="s">
        <v>15</v>
      </c>
    </row>
    <row r="1730" spans="1:9" ht="46.8">
      <c r="A1730" s="29">
        <v>2387436</v>
      </c>
      <c r="B1730" s="8" t="s">
        <v>249</v>
      </c>
      <c r="C1730" s="16" t="s">
        <v>2938</v>
      </c>
      <c r="D1730" s="12"/>
      <c r="E1730" s="26" t="s">
        <v>14</v>
      </c>
      <c r="F1730" s="12"/>
      <c r="G1730" s="12"/>
      <c r="H1730" s="33">
        <v>21</v>
      </c>
      <c r="I1730" s="14" t="s">
        <v>15</v>
      </c>
    </row>
    <row r="1731" spans="1:9" ht="62.4">
      <c r="A1731" s="8">
        <v>2387449</v>
      </c>
      <c r="B1731" s="8" t="s">
        <v>249</v>
      </c>
      <c r="C1731" s="37" t="s">
        <v>2939</v>
      </c>
      <c r="D1731" s="12"/>
      <c r="E1731" s="12"/>
      <c r="F1731" s="12"/>
      <c r="G1731" s="60" t="str">
        <f>HYPERLINK("https://fraser.stlouisfed.org/archival/5744#577897","Federal Reserve Bank of St. Louis")</f>
        <v>Federal Reserve Bank of St. Louis</v>
      </c>
      <c r="H1731" s="8">
        <v>34</v>
      </c>
      <c r="I1731" s="7" t="s">
        <v>15</v>
      </c>
    </row>
    <row r="1732" spans="1:9" ht="46.8">
      <c r="A1732" s="29">
        <v>2387451</v>
      </c>
      <c r="B1732" s="8" t="s">
        <v>249</v>
      </c>
      <c r="C1732" s="16" t="s">
        <v>2940</v>
      </c>
      <c r="D1732" s="12"/>
      <c r="E1732" s="26" t="s">
        <v>14</v>
      </c>
      <c r="F1732" s="12"/>
      <c r="G1732" s="12"/>
      <c r="H1732" s="33">
        <v>21</v>
      </c>
      <c r="I1732" s="14" t="s">
        <v>15</v>
      </c>
    </row>
    <row r="1733" spans="1:9" ht="46.8">
      <c r="A1733" s="29">
        <v>2387454</v>
      </c>
      <c r="B1733" s="8" t="s">
        <v>249</v>
      </c>
      <c r="C1733" s="16" t="s">
        <v>2941</v>
      </c>
      <c r="D1733" s="12"/>
      <c r="E1733" s="26" t="s">
        <v>14</v>
      </c>
      <c r="F1733" s="12"/>
      <c r="G1733" s="12"/>
      <c r="H1733" s="33">
        <v>21</v>
      </c>
      <c r="I1733" s="14" t="s">
        <v>15</v>
      </c>
    </row>
    <row r="1734" spans="1:9" ht="46.8">
      <c r="A1734" s="29">
        <v>2387493</v>
      </c>
      <c r="B1734" s="8" t="s">
        <v>249</v>
      </c>
      <c r="C1734" s="16" t="s">
        <v>2942</v>
      </c>
      <c r="D1734" s="12"/>
      <c r="E1734" s="26" t="s">
        <v>14</v>
      </c>
      <c r="F1734" s="12"/>
      <c r="G1734" s="12"/>
      <c r="H1734" s="33">
        <v>21</v>
      </c>
      <c r="I1734" s="14" t="s">
        <v>15</v>
      </c>
    </row>
    <row r="1735" spans="1:9" ht="46.8">
      <c r="A1735" s="29">
        <v>2387496</v>
      </c>
      <c r="B1735" s="8" t="s">
        <v>249</v>
      </c>
      <c r="C1735" s="16" t="s">
        <v>2943</v>
      </c>
      <c r="D1735" s="12"/>
      <c r="E1735" s="26" t="s">
        <v>14</v>
      </c>
      <c r="F1735" s="12"/>
      <c r="G1735" s="12"/>
      <c r="H1735" s="33">
        <v>21</v>
      </c>
      <c r="I1735" s="14" t="s">
        <v>15</v>
      </c>
    </row>
    <row r="1736" spans="1:9" ht="46.8">
      <c r="A1736" s="29">
        <v>2406685</v>
      </c>
      <c r="B1736" s="8" t="s">
        <v>249</v>
      </c>
      <c r="C1736" s="49" t="str">
        <f>HYPERLINK("https://catalog.archives.gov/search?q=*:*&amp;f.ancestorNaIds=2406685&amp;sort=naIdSort%20asc","Declarations of Intention for Citizenship, Tennessee (Nashville Division of the Middle District), 1914 - 1987")</f>
        <v>Declarations of Intention for Citizenship, Tennessee (Nashville Division of the Middle District), 1914 - 1987</v>
      </c>
      <c r="D1736" s="12"/>
      <c r="E1736" s="26" t="s">
        <v>14</v>
      </c>
      <c r="F1736" s="12"/>
      <c r="G1736" s="12"/>
      <c r="H1736" s="33">
        <v>21</v>
      </c>
      <c r="I1736" s="23" t="s">
        <v>18</v>
      </c>
    </row>
    <row r="1737" spans="1:9" ht="46.8">
      <c r="A1737" s="29">
        <v>2435806</v>
      </c>
      <c r="B1737" s="8" t="s">
        <v>249</v>
      </c>
      <c r="C1737" s="35" t="s">
        <v>2944</v>
      </c>
      <c r="D1737" s="12"/>
      <c r="E1737" s="26" t="s">
        <v>14</v>
      </c>
      <c r="F1737" s="12"/>
      <c r="G1737" s="12"/>
      <c r="H1737" s="33">
        <v>21</v>
      </c>
      <c r="I1737" s="14" t="s">
        <v>18</v>
      </c>
    </row>
    <row r="1738" spans="1:9" ht="46.8">
      <c r="A1738" s="29">
        <v>2435807</v>
      </c>
      <c r="B1738" s="8" t="s">
        <v>249</v>
      </c>
      <c r="C1738" s="16" t="s">
        <v>2945</v>
      </c>
      <c r="D1738" s="12"/>
      <c r="E1738" s="26" t="s">
        <v>14</v>
      </c>
      <c r="F1738" s="12"/>
      <c r="G1738" s="12"/>
      <c r="H1738" s="33">
        <v>21</v>
      </c>
      <c r="I1738" s="14" t="s">
        <v>15</v>
      </c>
    </row>
    <row r="1739" spans="1:9" ht="46.8">
      <c r="A1739" s="29">
        <v>2435808</v>
      </c>
      <c r="B1739" s="8" t="s">
        <v>249</v>
      </c>
      <c r="C1739" s="35" t="s">
        <v>2946</v>
      </c>
      <c r="D1739" s="12"/>
      <c r="E1739" s="26" t="s">
        <v>14</v>
      </c>
      <c r="F1739" s="12"/>
      <c r="G1739" s="12"/>
      <c r="H1739" s="33">
        <v>21</v>
      </c>
      <c r="I1739" s="14" t="s">
        <v>18</v>
      </c>
    </row>
    <row r="1740" spans="1:9" ht="46.8">
      <c r="A1740" s="29">
        <v>2435810</v>
      </c>
      <c r="B1740" s="8" t="s">
        <v>249</v>
      </c>
      <c r="C1740" s="35" t="s">
        <v>2947</v>
      </c>
      <c r="D1740" s="12"/>
      <c r="E1740" s="26" t="s">
        <v>14</v>
      </c>
      <c r="F1740" s="12"/>
      <c r="G1740" s="12"/>
      <c r="H1740" s="33">
        <v>21</v>
      </c>
      <c r="I1740" s="14" t="s">
        <v>18</v>
      </c>
    </row>
    <row r="1741" spans="1:9" ht="46.8">
      <c r="A1741" s="29">
        <v>2435812</v>
      </c>
      <c r="B1741" s="8" t="s">
        <v>249</v>
      </c>
      <c r="C1741" s="35" t="s">
        <v>2948</v>
      </c>
      <c r="D1741" s="12"/>
      <c r="E1741" s="26" t="s">
        <v>14</v>
      </c>
      <c r="F1741" s="12"/>
      <c r="G1741" s="12"/>
      <c r="H1741" s="33">
        <v>21</v>
      </c>
      <c r="I1741" s="14" t="s">
        <v>11</v>
      </c>
    </row>
    <row r="1742" spans="1:9" ht="46.8">
      <c r="A1742" s="29">
        <v>2439851</v>
      </c>
      <c r="B1742" s="8" t="s">
        <v>249</v>
      </c>
      <c r="C1742" s="35" t="s">
        <v>2949</v>
      </c>
      <c r="D1742" s="12"/>
      <c r="E1742" s="26" t="s">
        <v>14</v>
      </c>
      <c r="F1742" s="12"/>
      <c r="G1742" s="12"/>
      <c r="H1742" s="33">
        <v>21</v>
      </c>
      <c r="I1742" s="14" t="s">
        <v>11</v>
      </c>
    </row>
    <row r="1743" spans="1:9" ht="31.2">
      <c r="A1743" s="8">
        <v>2439916</v>
      </c>
      <c r="B1743" s="8" t="s">
        <v>249</v>
      </c>
      <c r="C1743" s="37" t="s">
        <v>2950</v>
      </c>
      <c r="D1743" s="12"/>
      <c r="E1743" s="12"/>
      <c r="F1743" s="31" t="str">
        <f>HYPERLINK("https://www.familysearch.org/search/catalog/2827526","FamilySearch.org")</f>
        <v>FamilySearch.org</v>
      </c>
      <c r="G1743" s="12"/>
      <c r="H1743" s="8">
        <v>36</v>
      </c>
      <c r="I1743" s="7" t="s">
        <v>15</v>
      </c>
    </row>
    <row r="1744" spans="1:9" ht="31.2">
      <c r="A1744" s="8">
        <v>2505534</v>
      </c>
      <c r="B1744" s="8" t="s">
        <v>249</v>
      </c>
      <c r="C1744" s="37" t="s">
        <v>2951</v>
      </c>
      <c r="D1744" s="12"/>
      <c r="E1744" s="12"/>
      <c r="F1744" s="31" t="str">
        <f>HYPERLINK("https://www.familysearch.org/search/catalog/3273150","FamilySearch.org")</f>
        <v>FamilySearch.org</v>
      </c>
      <c r="G1744" s="12"/>
      <c r="H1744" s="8">
        <v>21</v>
      </c>
      <c r="I1744" s="7" t="s">
        <v>15</v>
      </c>
    </row>
    <row r="1745" spans="1:9" ht="31.2">
      <c r="A1745" s="8">
        <v>2505536</v>
      </c>
      <c r="B1745" s="8" t="s">
        <v>249</v>
      </c>
      <c r="C1745" s="37" t="s">
        <v>2952</v>
      </c>
      <c r="D1745" s="12"/>
      <c r="E1745" s="12"/>
      <c r="F1745" s="31" t="str">
        <f t="shared" ref="F1745:F1747" si="70">HYPERLINK("https://www.familysearch.org/search/catalog/2748741","FamilySearch.org")</f>
        <v>FamilySearch.org</v>
      </c>
      <c r="G1745" s="12"/>
      <c r="H1745" s="8">
        <v>21</v>
      </c>
      <c r="I1745" s="7" t="s">
        <v>15</v>
      </c>
    </row>
    <row r="1746" spans="1:9" ht="31.2">
      <c r="A1746" s="8">
        <v>2505537</v>
      </c>
      <c r="B1746" s="8" t="s">
        <v>249</v>
      </c>
      <c r="C1746" s="37" t="s">
        <v>2953</v>
      </c>
      <c r="D1746" s="12"/>
      <c r="E1746" s="12"/>
      <c r="F1746" s="31" t="str">
        <f t="shared" si="70"/>
        <v>FamilySearch.org</v>
      </c>
      <c r="G1746" s="12"/>
      <c r="H1746" s="8">
        <v>21</v>
      </c>
      <c r="I1746" s="7" t="s">
        <v>15</v>
      </c>
    </row>
    <row r="1747" spans="1:9" ht="31.2">
      <c r="A1747" s="8">
        <v>2505539</v>
      </c>
      <c r="B1747" s="8" t="s">
        <v>249</v>
      </c>
      <c r="C1747" s="37" t="s">
        <v>2954</v>
      </c>
      <c r="D1747" s="12"/>
      <c r="E1747" s="12"/>
      <c r="F1747" s="31" t="str">
        <f t="shared" si="70"/>
        <v>FamilySearch.org</v>
      </c>
      <c r="G1747" s="12"/>
      <c r="H1747" s="8">
        <v>21</v>
      </c>
      <c r="I1747" s="7" t="s">
        <v>15</v>
      </c>
    </row>
    <row r="1748" spans="1:9" ht="46.8">
      <c r="A1748" s="29">
        <v>2517175</v>
      </c>
      <c r="B1748" s="8" t="s">
        <v>249</v>
      </c>
      <c r="C1748" s="49" t="str">
        <f>HYPERLINK("https://catalog.archives.gov/search?q=*:*&amp;f.ancestorNaIds=2517175&amp;sort=naIdSort%20asc","Declarations of Intention for Citizenship, Tennessee (Southern (Chattanooga) Division of the Eastern District), 1907 - 1957")</f>
        <v>Declarations of Intention for Citizenship, Tennessee (Southern (Chattanooga) Division of the Eastern District), 1907 - 1957</v>
      </c>
      <c r="D1748" s="12"/>
      <c r="E1748" s="26" t="s">
        <v>14</v>
      </c>
      <c r="F1748" s="12"/>
      <c r="G1748" s="12"/>
      <c r="H1748" s="33">
        <v>21</v>
      </c>
      <c r="I1748" s="23" t="s">
        <v>18</v>
      </c>
    </row>
    <row r="1749" spans="1:9" ht="46.8">
      <c r="A1749" s="29">
        <v>2517183</v>
      </c>
      <c r="B1749" s="8" t="s">
        <v>249</v>
      </c>
      <c r="C1749" s="49" t="str">
        <f>HYPERLINK("https://catalog.archives.gov/search?q=*:*&amp;f.ancestorNaIds=2517183&amp;sort=naIdSort%20asc","Declarations of Intention for Citizenship, Tennessee (Western (Memphis) Division of the Western District), 1906 - 1961")</f>
        <v>Declarations of Intention for Citizenship, Tennessee (Western (Memphis) Division of the Western District), 1906 - 1961</v>
      </c>
      <c r="D1749" s="12"/>
      <c r="E1749" s="26" t="s">
        <v>14</v>
      </c>
      <c r="F1749" s="12"/>
      <c r="G1749" s="12"/>
      <c r="H1749" s="33">
        <v>21</v>
      </c>
      <c r="I1749" s="23" t="s">
        <v>18</v>
      </c>
    </row>
    <row r="1750" spans="1:9" ht="46.8">
      <c r="A1750" s="29">
        <v>2517187</v>
      </c>
      <c r="B1750" s="8" t="s">
        <v>249</v>
      </c>
      <c r="C1750" s="49" t="str">
        <f>HYPERLINK("https://catalog.archives.gov/search?q=*:*&amp;f.ancestorNaIds=2517187&amp;sort=naIdSort%20asc","Declarations of Intention for Citizenship, Tennessee (Northern (Knoxville) Division of the Eastern District), 1929 - 1988")</f>
        <v>Declarations of Intention for Citizenship, Tennessee (Northern (Knoxville) Division of the Eastern District), 1929 - 1988</v>
      </c>
      <c r="D1750" s="12"/>
      <c r="E1750" s="26" t="s">
        <v>14</v>
      </c>
      <c r="F1750" s="12"/>
      <c r="G1750" s="12"/>
      <c r="H1750" s="33">
        <v>21</v>
      </c>
      <c r="I1750" s="23" t="s">
        <v>18</v>
      </c>
    </row>
    <row r="1751" spans="1:9" ht="46.8">
      <c r="A1751" s="29">
        <v>2517297</v>
      </c>
      <c r="B1751" s="8" t="s">
        <v>249</v>
      </c>
      <c r="C1751" s="16" t="s">
        <v>2955</v>
      </c>
      <c r="D1751" s="12"/>
      <c r="E1751" s="26" t="s">
        <v>14</v>
      </c>
      <c r="F1751" s="12"/>
      <c r="G1751" s="12"/>
      <c r="H1751" s="33">
        <v>21</v>
      </c>
      <c r="I1751" s="14" t="s">
        <v>15</v>
      </c>
    </row>
    <row r="1752" spans="1:9" ht="46.8">
      <c r="A1752" s="29">
        <v>2517299</v>
      </c>
      <c r="B1752" s="8" t="s">
        <v>249</v>
      </c>
      <c r="C1752" s="49" t="str">
        <f>HYPERLINK("https://catalog.archives.gov/search?q=*:*&amp;f.ancestorNaIds=2517299&amp;sort=naIdSort%20asc","Declarations of Intention for Citizenship, Tennessee (Eastern (Jackson) Division of the Western District), 1909 - 1942")</f>
        <v>Declarations of Intention for Citizenship, Tennessee (Eastern (Jackson) Division of the Western District), 1909 - 1942</v>
      </c>
      <c r="D1752" s="12"/>
      <c r="E1752" s="26" t="s">
        <v>14</v>
      </c>
      <c r="F1752" s="12"/>
      <c r="G1752" s="12"/>
      <c r="H1752" s="33">
        <v>21</v>
      </c>
      <c r="I1752" s="23" t="s">
        <v>11</v>
      </c>
    </row>
    <row r="1753" spans="1:9" ht="46.8">
      <c r="A1753" s="29">
        <v>2521093</v>
      </c>
      <c r="B1753" s="8" t="s">
        <v>249</v>
      </c>
      <c r="C1753" s="16" t="s">
        <v>2956</v>
      </c>
      <c r="D1753" s="12"/>
      <c r="E1753" s="26" t="s">
        <v>14</v>
      </c>
      <c r="F1753" s="12"/>
      <c r="G1753" s="12"/>
      <c r="H1753" s="33">
        <v>21</v>
      </c>
      <c r="I1753" s="14" t="s">
        <v>15</v>
      </c>
    </row>
    <row r="1754" spans="1:9" ht="46.8">
      <c r="A1754" s="29">
        <v>2521156</v>
      </c>
      <c r="B1754" s="8" t="s">
        <v>249</v>
      </c>
      <c r="C1754" s="35" t="s">
        <v>2957</v>
      </c>
      <c r="D1754" s="12"/>
      <c r="E1754" s="26" t="s">
        <v>14</v>
      </c>
      <c r="F1754" s="12"/>
      <c r="G1754" s="12"/>
      <c r="H1754" s="33">
        <v>21</v>
      </c>
      <c r="I1754" s="14" t="s">
        <v>18</v>
      </c>
    </row>
    <row r="1755" spans="1:9" ht="46.8">
      <c r="A1755" s="29">
        <v>2524338</v>
      </c>
      <c r="B1755" s="8" t="s">
        <v>249</v>
      </c>
      <c r="C1755" s="35" t="s">
        <v>2958</v>
      </c>
      <c r="D1755" s="12"/>
      <c r="E1755" s="26" t="s">
        <v>14</v>
      </c>
      <c r="F1755" s="12"/>
      <c r="G1755" s="12"/>
      <c r="H1755" s="33">
        <v>21</v>
      </c>
      <c r="I1755" s="14" t="s">
        <v>18</v>
      </c>
    </row>
    <row r="1756" spans="1:9" ht="46.8">
      <c r="A1756" s="29">
        <v>2524339</v>
      </c>
      <c r="B1756" s="8" t="s">
        <v>249</v>
      </c>
      <c r="C1756" s="35" t="s">
        <v>2959</v>
      </c>
      <c r="D1756" s="12"/>
      <c r="E1756" s="26" t="s">
        <v>14</v>
      </c>
      <c r="F1756" s="12"/>
      <c r="G1756" s="12"/>
      <c r="H1756" s="33">
        <v>21</v>
      </c>
      <c r="I1756" s="14" t="s">
        <v>18</v>
      </c>
    </row>
    <row r="1757" spans="1:9" ht="46.8">
      <c r="A1757" s="29">
        <v>2524342</v>
      </c>
      <c r="B1757" s="8" t="s">
        <v>249</v>
      </c>
      <c r="C1757" s="35" t="s">
        <v>2960</v>
      </c>
      <c r="D1757" s="12"/>
      <c r="E1757" s="26" t="s">
        <v>14</v>
      </c>
      <c r="F1757" s="12"/>
      <c r="G1757" s="12"/>
      <c r="H1757" s="33">
        <v>21</v>
      </c>
      <c r="I1757" s="14" t="s">
        <v>18</v>
      </c>
    </row>
    <row r="1758" spans="1:9" ht="46.8">
      <c r="A1758" s="29">
        <v>2524345</v>
      </c>
      <c r="B1758" s="8" t="s">
        <v>249</v>
      </c>
      <c r="C1758" s="16" t="s">
        <v>2961</v>
      </c>
      <c r="D1758" s="12"/>
      <c r="E1758" s="26" t="s">
        <v>14</v>
      </c>
      <c r="F1758" s="12"/>
      <c r="G1758" s="12"/>
      <c r="H1758" s="33">
        <v>21</v>
      </c>
      <c r="I1758" s="14" t="s">
        <v>15</v>
      </c>
    </row>
    <row r="1759" spans="1:9" ht="15.6">
      <c r="A1759" s="29">
        <v>2554808</v>
      </c>
      <c r="B1759" s="8" t="s">
        <v>249</v>
      </c>
      <c r="C1759" s="35" t="s">
        <v>2962</v>
      </c>
      <c r="D1759" s="12"/>
      <c r="E1759" s="26" t="s">
        <v>14</v>
      </c>
      <c r="F1759" s="12"/>
      <c r="G1759" s="12"/>
      <c r="H1759" s="33">
        <v>36</v>
      </c>
      <c r="I1759" s="23" t="s">
        <v>11</v>
      </c>
    </row>
    <row r="1760" spans="1:9" ht="31.2">
      <c r="A1760" s="8">
        <v>2555151</v>
      </c>
      <c r="B1760" s="8" t="s">
        <v>249</v>
      </c>
      <c r="C1760" s="54" t="str">
        <f>HYPERLINK("https://catalog.archives.gov/search?q=*:*&amp;f.ancestorNaIds=2555151&amp;sort=naIdSort%20asc","Declarations of Intention for Citizenship, Idaho (Southern (Boise) Division), 1906 - 1990")</f>
        <v>Declarations of Intention for Citizenship, Idaho (Southern (Boise) Division), 1906 - 1990</v>
      </c>
      <c r="D1760" s="12"/>
      <c r="E1760" s="12"/>
      <c r="F1760" s="31" t="str">
        <f>HYPERLINK("https://www.familysearch.org/search/catalog/2818908","FamilySearch.org")</f>
        <v>FamilySearch.org</v>
      </c>
      <c r="G1760" s="12"/>
      <c r="H1760" s="8">
        <v>21</v>
      </c>
      <c r="I1760" s="15" t="s">
        <v>18</v>
      </c>
    </row>
    <row r="1761" spans="1:9" ht="46.8">
      <c r="A1761" s="29">
        <v>2555158</v>
      </c>
      <c r="B1761" s="8" t="s">
        <v>249</v>
      </c>
      <c r="C1761" s="16" t="s">
        <v>2963</v>
      </c>
      <c r="D1761" s="12"/>
      <c r="E1761" s="26" t="s">
        <v>14</v>
      </c>
      <c r="F1761" s="12"/>
      <c r="G1761" s="12"/>
      <c r="H1761" s="33">
        <v>59</v>
      </c>
      <c r="I1761" s="14" t="s">
        <v>15</v>
      </c>
    </row>
    <row r="1762" spans="1:9" ht="31.2">
      <c r="A1762" s="8">
        <v>2555234</v>
      </c>
      <c r="B1762" s="8" t="s">
        <v>249</v>
      </c>
      <c r="C1762" s="37" t="s">
        <v>2964</v>
      </c>
      <c r="D1762" s="12"/>
      <c r="E1762" s="12"/>
      <c r="F1762" s="31" t="str">
        <f>HYPERLINK("https://www.familysearch.org/search/catalog/2839274","FamilySearch.org")</f>
        <v>FamilySearch.org</v>
      </c>
      <c r="G1762" s="12"/>
      <c r="H1762" s="8">
        <v>21</v>
      </c>
      <c r="I1762" s="7" t="s">
        <v>15</v>
      </c>
    </row>
    <row r="1763" spans="1:9" ht="31.2">
      <c r="A1763" s="29">
        <v>2555449</v>
      </c>
      <c r="B1763" s="8" t="s">
        <v>249</v>
      </c>
      <c r="C1763" s="16" t="s">
        <v>2965</v>
      </c>
      <c r="D1763" s="32" t="s">
        <v>220</v>
      </c>
      <c r="E1763" s="12"/>
      <c r="F1763" s="12"/>
      <c r="G1763" s="12"/>
      <c r="H1763" s="33">
        <v>147</v>
      </c>
      <c r="I1763" s="14" t="s">
        <v>15</v>
      </c>
    </row>
    <row r="1764" spans="1:9" ht="31.2">
      <c r="A1764" s="29">
        <v>2555451</v>
      </c>
      <c r="B1764" s="8" t="s">
        <v>249</v>
      </c>
      <c r="C1764" s="34" t="s">
        <v>2966</v>
      </c>
      <c r="D1764" s="32" t="s">
        <v>220</v>
      </c>
      <c r="E1764" s="12"/>
      <c r="F1764" s="12"/>
      <c r="G1764" s="12"/>
      <c r="H1764" s="33">
        <v>147</v>
      </c>
      <c r="I1764" s="14" t="s">
        <v>11</v>
      </c>
    </row>
    <row r="1765" spans="1:9" ht="31.2">
      <c r="A1765" s="29">
        <v>2555452</v>
      </c>
      <c r="B1765" s="8" t="s">
        <v>249</v>
      </c>
      <c r="C1765" s="16" t="s">
        <v>2967</v>
      </c>
      <c r="D1765" s="32" t="s">
        <v>220</v>
      </c>
      <c r="E1765" s="12"/>
      <c r="F1765" s="12"/>
      <c r="G1765" s="12"/>
      <c r="H1765" s="33">
        <v>147</v>
      </c>
      <c r="I1765" s="14" t="s">
        <v>15</v>
      </c>
    </row>
    <row r="1766" spans="1:9" ht="31.2">
      <c r="A1766" s="29">
        <v>2555453</v>
      </c>
      <c r="B1766" s="8" t="s">
        <v>249</v>
      </c>
      <c r="C1766" s="16" t="s">
        <v>2968</v>
      </c>
      <c r="D1766" s="32" t="s">
        <v>220</v>
      </c>
      <c r="E1766" s="12"/>
      <c r="F1766" s="12"/>
      <c r="G1766" s="12"/>
      <c r="H1766" s="33">
        <v>147</v>
      </c>
      <c r="I1766" s="14" t="s">
        <v>15</v>
      </c>
    </row>
    <row r="1767" spans="1:9" ht="31.2">
      <c r="A1767" s="29">
        <v>2555709</v>
      </c>
      <c r="B1767" s="8" t="s">
        <v>249</v>
      </c>
      <c r="C1767" s="16" t="s">
        <v>2969</v>
      </c>
      <c r="D1767" s="12"/>
      <c r="E1767" s="26" t="s">
        <v>14</v>
      </c>
      <c r="F1767" s="12"/>
      <c r="G1767" s="12"/>
      <c r="H1767" s="33">
        <v>59</v>
      </c>
      <c r="I1767" s="14" t="s">
        <v>15</v>
      </c>
    </row>
    <row r="1768" spans="1:9" ht="31.2">
      <c r="A1768" s="29">
        <v>2555973</v>
      </c>
      <c r="B1768" s="8" t="s">
        <v>249</v>
      </c>
      <c r="C1768" s="16" t="s">
        <v>2970</v>
      </c>
      <c r="D1768" s="32" t="str">
        <f>HYPERLINK("https://www.fold3.com/title/765/wwii-old-mans-draft-registration-cards","Fold3.com")</f>
        <v>Fold3.com</v>
      </c>
      <c r="E1768" s="26" t="s">
        <v>14</v>
      </c>
      <c r="F1768" s="12"/>
      <c r="G1768" s="12"/>
      <c r="H1768" s="33">
        <v>147</v>
      </c>
      <c r="I1768" s="14" t="s">
        <v>15</v>
      </c>
    </row>
    <row r="1769" spans="1:9" ht="31.2">
      <c r="A1769" s="29">
        <v>2555983</v>
      </c>
      <c r="B1769" s="8" t="s">
        <v>249</v>
      </c>
      <c r="C1769" s="16" t="s">
        <v>2971</v>
      </c>
      <c r="D1769" s="32" t="s">
        <v>220</v>
      </c>
      <c r="E1769" s="12"/>
      <c r="F1769" s="12"/>
      <c r="G1769" s="12"/>
      <c r="H1769" s="33">
        <v>147</v>
      </c>
      <c r="I1769" s="14" t="s">
        <v>15</v>
      </c>
    </row>
    <row r="1770" spans="1:9" ht="31.2">
      <c r="A1770" s="29">
        <v>2555986</v>
      </c>
      <c r="B1770" s="8" t="s">
        <v>249</v>
      </c>
      <c r="C1770" s="34" t="s">
        <v>2972</v>
      </c>
      <c r="D1770" s="32" t="str">
        <f>HYPERLINK("https://www.fold3.com/title/765/wwii-old-mans-draft-registration-cards","Fold3.com")</f>
        <v>Fold3.com</v>
      </c>
      <c r="E1770" s="26" t="s">
        <v>14</v>
      </c>
      <c r="F1770" s="12"/>
      <c r="G1770" s="12"/>
      <c r="H1770" s="33">
        <v>147</v>
      </c>
      <c r="I1770" s="14" t="s">
        <v>11</v>
      </c>
    </row>
    <row r="1771" spans="1:9" ht="31.2">
      <c r="A1771" s="29">
        <v>2565527</v>
      </c>
      <c r="B1771" s="8" t="s">
        <v>249</v>
      </c>
      <c r="C1771" s="16" t="s">
        <v>2973</v>
      </c>
      <c r="D1771" s="12"/>
      <c r="E1771" s="26" t="s">
        <v>14</v>
      </c>
      <c r="F1771" s="12"/>
      <c r="G1771" s="12"/>
      <c r="H1771" s="33">
        <v>21</v>
      </c>
      <c r="I1771" s="14" t="s">
        <v>15</v>
      </c>
    </row>
    <row r="1772" spans="1:9" ht="46.8">
      <c r="A1772" s="29">
        <v>2573314</v>
      </c>
      <c r="B1772" s="8" t="s">
        <v>249</v>
      </c>
      <c r="C1772" s="16" t="s">
        <v>2974</v>
      </c>
      <c r="D1772" s="12"/>
      <c r="E1772" s="26" t="s">
        <v>14</v>
      </c>
      <c r="F1772" s="12"/>
      <c r="G1772" s="12"/>
      <c r="H1772" s="33">
        <v>21</v>
      </c>
      <c r="I1772" s="14" t="s">
        <v>15</v>
      </c>
    </row>
    <row r="1773" spans="1:9" ht="46.8">
      <c r="A1773" s="29">
        <v>2581230</v>
      </c>
      <c r="B1773" s="8" t="s">
        <v>249</v>
      </c>
      <c r="C1773" s="16" t="s">
        <v>2975</v>
      </c>
      <c r="D1773" s="12"/>
      <c r="E1773" s="26" t="s">
        <v>14</v>
      </c>
      <c r="F1773" s="12"/>
      <c r="G1773" s="12"/>
      <c r="H1773" s="33">
        <v>21</v>
      </c>
      <c r="I1773" s="14" t="s">
        <v>15</v>
      </c>
    </row>
    <row r="1774" spans="1:9" ht="46.8">
      <c r="A1774" s="29">
        <v>2581231</v>
      </c>
      <c r="B1774" s="8" t="s">
        <v>249</v>
      </c>
      <c r="C1774" s="16" t="s">
        <v>2976</v>
      </c>
      <c r="D1774" s="12"/>
      <c r="E1774" s="26" t="s">
        <v>14</v>
      </c>
      <c r="F1774" s="12"/>
      <c r="G1774" s="12"/>
      <c r="H1774" s="33">
        <v>21</v>
      </c>
      <c r="I1774" s="14" t="s">
        <v>15</v>
      </c>
    </row>
    <row r="1775" spans="1:9" ht="46.8">
      <c r="A1775" s="8">
        <v>2584133</v>
      </c>
      <c r="B1775" s="8" t="s">
        <v>249</v>
      </c>
      <c r="C1775" s="37" t="s">
        <v>2977</v>
      </c>
      <c r="D1775" s="12"/>
      <c r="E1775" s="12"/>
      <c r="F1775" s="31" t="str">
        <f t="shared" ref="F1775:F1776" si="71">HYPERLINK("https://www.familysearch.org/wiki/en/Alaska,_Naturalization_Records_-_FamilySearch_Historical_Records","FamilySearch.org")</f>
        <v>FamilySearch.org</v>
      </c>
      <c r="G1775" s="12"/>
      <c r="H1775" s="8">
        <v>21</v>
      </c>
      <c r="I1775" s="7" t="s">
        <v>15</v>
      </c>
    </row>
    <row r="1776" spans="1:9" ht="46.8">
      <c r="A1776" s="8">
        <v>2591944</v>
      </c>
      <c r="B1776" s="8" t="s">
        <v>249</v>
      </c>
      <c r="C1776" s="37" t="s">
        <v>2978</v>
      </c>
      <c r="D1776" s="12"/>
      <c r="E1776" s="12"/>
      <c r="F1776" s="31" t="str">
        <f t="shared" si="71"/>
        <v>FamilySearch.org</v>
      </c>
      <c r="G1776" s="12"/>
      <c r="H1776" s="8">
        <v>21</v>
      </c>
      <c r="I1776" s="7" t="s">
        <v>15</v>
      </c>
    </row>
    <row r="1777" spans="1:9" ht="46.8">
      <c r="A1777" s="29">
        <v>2602411</v>
      </c>
      <c r="B1777" s="8" t="s">
        <v>249</v>
      </c>
      <c r="C1777" s="35" t="s">
        <v>2979</v>
      </c>
      <c r="D1777" s="12"/>
      <c r="E1777" s="26" t="s">
        <v>14</v>
      </c>
      <c r="F1777" s="12"/>
      <c r="G1777" s="12"/>
      <c r="H1777" s="33">
        <v>21</v>
      </c>
      <c r="I1777" s="14" t="s">
        <v>11</v>
      </c>
    </row>
    <row r="1778" spans="1:9" ht="46.8">
      <c r="A1778" s="29">
        <v>2602416</v>
      </c>
      <c r="B1778" s="8" t="s">
        <v>249</v>
      </c>
      <c r="C1778" s="35" t="s">
        <v>2980</v>
      </c>
      <c r="D1778" s="12"/>
      <c r="E1778" s="26" t="s">
        <v>14</v>
      </c>
      <c r="F1778" s="12"/>
      <c r="G1778" s="12"/>
      <c r="H1778" s="33">
        <v>21</v>
      </c>
      <c r="I1778" s="14" t="s">
        <v>18</v>
      </c>
    </row>
    <row r="1779" spans="1:9" ht="46.8">
      <c r="A1779" s="29">
        <v>2602418</v>
      </c>
      <c r="B1779" s="8" t="s">
        <v>249</v>
      </c>
      <c r="C1779" s="16" t="s">
        <v>2981</v>
      </c>
      <c r="D1779" s="12"/>
      <c r="E1779" s="26" t="s">
        <v>14</v>
      </c>
      <c r="F1779" s="12"/>
      <c r="G1779" s="12"/>
      <c r="H1779" s="33">
        <v>21</v>
      </c>
      <c r="I1779" s="14" t="s">
        <v>15</v>
      </c>
    </row>
    <row r="1780" spans="1:9" ht="46.8">
      <c r="A1780" s="29">
        <v>2602420</v>
      </c>
      <c r="B1780" s="8" t="s">
        <v>249</v>
      </c>
      <c r="C1780" s="35" t="s">
        <v>2982</v>
      </c>
      <c r="D1780" s="12"/>
      <c r="E1780" s="26" t="s">
        <v>14</v>
      </c>
      <c r="F1780" s="12"/>
      <c r="G1780" s="12"/>
      <c r="H1780" s="33">
        <v>21</v>
      </c>
      <c r="I1780" s="14" t="s">
        <v>11</v>
      </c>
    </row>
    <row r="1781" spans="1:9" ht="46.8">
      <c r="A1781" s="29">
        <v>2602421</v>
      </c>
      <c r="B1781" s="8" t="s">
        <v>249</v>
      </c>
      <c r="C1781" s="35" t="s">
        <v>2983</v>
      </c>
      <c r="D1781" s="12"/>
      <c r="E1781" s="26" t="s">
        <v>14</v>
      </c>
      <c r="F1781" s="12"/>
      <c r="G1781" s="12"/>
      <c r="H1781" s="33">
        <v>21</v>
      </c>
      <c r="I1781" s="14" t="s">
        <v>18</v>
      </c>
    </row>
    <row r="1782" spans="1:9" ht="46.8">
      <c r="A1782" s="29">
        <v>2602422</v>
      </c>
      <c r="B1782" s="8" t="s">
        <v>249</v>
      </c>
      <c r="C1782" s="35" t="s">
        <v>2984</v>
      </c>
      <c r="D1782" s="12"/>
      <c r="E1782" s="26" t="s">
        <v>14</v>
      </c>
      <c r="F1782" s="12"/>
      <c r="G1782" s="12"/>
      <c r="H1782" s="33">
        <v>21</v>
      </c>
      <c r="I1782" s="14" t="s">
        <v>18</v>
      </c>
    </row>
    <row r="1783" spans="1:9" ht="46.8">
      <c r="A1783" s="7">
        <v>68141954</v>
      </c>
      <c r="B1783" s="8" t="s">
        <v>249</v>
      </c>
      <c r="C1783" s="35" t="s">
        <v>2985</v>
      </c>
      <c r="D1783" s="12"/>
      <c r="E1783" s="26" t="s">
        <v>14</v>
      </c>
      <c r="F1783" s="11"/>
      <c r="G1783" s="12"/>
      <c r="H1783" s="33">
        <v>21</v>
      </c>
      <c r="I1783" s="14" t="s">
        <v>11</v>
      </c>
    </row>
    <row r="1784" spans="1:9" ht="46.8">
      <c r="A1784" s="29">
        <v>2618723</v>
      </c>
      <c r="B1784" s="8" t="s">
        <v>249</v>
      </c>
      <c r="C1784" s="16" t="s">
        <v>2986</v>
      </c>
      <c r="D1784" s="12"/>
      <c r="E1784" s="26" t="s">
        <v>14</v>
      </c>
      <c r="F1784" s="12"/>
      <c r="G1784" s="12"/>
      <c r="H1784" s="33">
        <v>21</v>
      </c>
      <c r="I1784" s="14" t="s">
        <v>15</v>
      </c>
    </row>
    <row r="1785" spans="1:9" ht="46.8">
      <c r="A1785" s="29">
        <v>2618959</v>
      </c>
      <c r="B1785" s="8" t="s">
        <v>249</v>
      </c>
      <c r="C1785" s="16" t="s">
        <v>2987</v>
      </c>
      <c r="D1785" s="12"/>
      <c r="E1785" s="26" t="s">
        <v>14</v>
      </c>
      <c r="F1785" s="12"/>
      <c r="G1785" s="12"/>
      <c r="H1785" s="33">
        <v>21</v>
      </c>
      <c r="I1785" s="14" t="s">
        <v>15</v>
      </c>
    </row>
    <row r="1786" spans="1:9" ht="46.8">
      <c r="A1786" s="29">
        <v>2629233</v>
      </c>
      <c r="B1786" s="8" t="s">
        <v>249</v>
      </c>
      <c r="C1786" s="35" t="s">
        <v>2988</v>
      </c>
      <c r="D1786" s="12"/>
      <c r="E1786" s="26" t="s">
        <v>14</v>
      </c>
      <c r="F1786" s="12"/>
      <c r="G1786" s="12"/>
      <c r="H1786" s="33">
        <v>21</v>
      </c>
      <c r="I1786" s="14" t="s">
        <v>18</v>
      </c>
    </row>
    <row r="1787" spans="1:9" ht="46.8">
      <c r="A1787" s="29">
        <v>2629234</v>
      </c>
      <c r="B1787" s="8" t="s">
        <v>249</v>
      </c>
      <c r="C1787" s="16" t="s">
        <v>2989</v>
      </c>
      <c r="D1787" s="12"/>
      <c r="E1787" s="26" t="s">
        <v>14</v>
      </c>
      <c r="F1787" s="12"/>
      <c r="G1787" s="12"/>
      <c r="H1787" s="33">
        <v>21</v>
      </c>
      <c r="I1787" s="14" t="s">
        <v>15</v>
      </c>
    </row>
    <row r="1788" spans="1:9" ht="46.8">
      <c r="A1788" s="29">
        <v>2637969</v>
      </c>
      <c r="B1788" s="8" t="s">
        <v>249</v>
      </c>
      <c r="C1788" s="16" t="s">
        <v>2990</v>
      </c>
      <c r="D1788" s="12"/>
      <c r="E1788" s="26" t="s">
        <v>14</v>
      </c>
      <c r="F1788" s="12"/>
      <c r="G1788" s="12"/>
      <c r="H1788" s="33">
        <v>21</v>
      </c>
      <c r="I1788" s="14" t="s">
        <v>15</v>
      </c>
    </row>
    <row r="1789" spans="1:9" ht="46.8">
      <c r="A1789" s="29">
        <v>2637971</v>
      </c>
      <c r="B1789" s="8" t="s">
        <v>249</v>
      </c>
      <c r="C1789" s="16" t="s">
        <v>2991</v>
      </c>
      <c r="D1789" s="12"/>
      <c r="E1789" s="26" t="s">
        <v>14</v>
      </c>
      <c r="F1789" s="12"/>
      <c r="G1789" s="12"/>
      <c r="H1789" s="33">
        <v>21</v>
      </c>
      <c r="I1789" s="14" t="s">
        <v>15</v>
      </c>
    </row>
    <row r="1790" spans="1:9" ht="46.8">
      <c r="A1790" s="29">
        <v>2637972</v>
      </c>
      <c r="B1790" s="8" t="s">
        <v>249</v>
      </c>
      <c r="C1790" s="16" t="s">
        <v>2992</v>
      </c>
      <c r="D1790" s="12"/>
      <c r="E1790" s="26" t="s">
        <v>14</v>
      </c>
      <c r="F1790" s="12"/>
      <c r="G1790" s="12"/>
      <c r="H1790" s="33">
        <v>21</v>
      </c>
      <c r="I1790" s="14" t="s">
        <v>15</v>
      </c>
    </row>
    <row r="1791" spans="1:9" ht="46.8">
      <c r="A1791" s="29">
        <v>2637973</v>
      </c>
      <c r="B1791" s="8" t="s">
        <v>249</v>
      </c>
      <c r="C1791" s="16" t="s">
        <v>2993</v>
      </c>
      <c r="D1791" s="12"/>
      <c r="E1791" s="26" t="s">
        <v>14</v>
      </c>
      <c r="F1791" s="12"/>
      <c r="G1791" s="12"/>
      <c r="H1791" s="33">
        <v>21</v>
      </c>
      <c r="I1791" s="14" t="s">
        <v>15</v>
      </c>
    </row>
    <row r="1792" spans="1:9" ht="46.8">
      <c r="A1792" s="29">
        <v>2637974</v>
      </c>
      <c r="B1792" s="8" t="s">
        <v>249</v>
      </c>
      <c r="C1792" s="16" t="s">
        <v>2994</v>
      </c>
      <c r="D1792" s="12"/>
      <c r="E1792" s="26" t="s">
        <v>14</v>
      </c>
      <c r="F1792" s="12"/>
      <c r="G1792" s="12"/>
      <c r="H1792" s="33">
        <v>21</v>
      </c>
      <c r="I1792" s="14" t="s">
        <v>15</v>
      </c>
    </row>
    <row r="1793" spans="1:9" ht="46.8">
      <c r="A1793" s="29">
        <v>2637977</v>
      </c>
      <c r="B1793" s="8" t="s">
        <v>249</v>
      </c>
      <c r="C1793" s="35" t="s">
        <v>2995</v>
      </c>
      <c r="D1793" s="12"/>
      <c r="E1793" s="26" t="s">
        <v>14</v>
      </c>
      <c r="F1793" s="12"/>
      <c r="G1793" s="12"/>
      <c r="H1793" s="33">
        <v>21</v>
      </c>
      <c r="I1793" s="14" t="s">
        <v>11</v>
      </c>
    </row>
    <row r="1794" spans="1:9" ht="31.2">
      <c r="A1794" s="8">
        <v>2642512</v>
      </c>
      <c r="B1794" s="8" t="s">
        <v>249</v>
      </c>
      <c r="C1794" s="54" t="s">
        <v>2996</v>
      </c>
      <c r="D1794" s="12"/>
      <c r="E1794" s="12"/>
      <c r="F1794" s="31" t="str">
        <f>HYPERLINK("https://www.familysearch.org/search/catalog/2831089","FamilySearch.org")</f>
        <v>FamilySearch.org</v>
      </c>
      <c r="G1794" s="12"/>
      <c r="H1794" s="8">
        <v>85</v>
      </c>
      <c r="I1794" s="15" t="s">
        <v>11</v>
      </c>
    </row>
    <row r="1795" spans="1:9" ht="31.2">
      <c r="A1795" s="81">
        <v>2645537</v>
      </c>
      <c r="B1795" s="8" t="s">
        <v>249</v>
      </c>
      <c r="C1795" s="85" t="s">
        <v>2997</v>
      </c>
      <c r="D1795" s="32" t="s">
        <v>220</v>
      </c>
      <c r="E1795" s="32" t="str">
        <f t="shared" ref="E1795:E1796" si="72">HYPERLINK("https://search.ancestryinstitution.com/search/db.aspx?dbid=2238","Ancestry.com")</f>
        <v>Ancestry.com</v>
      </c>
      <c r="F1795" s="12"/>
      <c r="G1795" s="12"/>
      <c r="H1795" s="33">
        <v>147</v>
      </c>
      <c r="I1795" s="14" t="s">
        <v>15</v>
      </c>
    </row>
    <row r="1796" spans="1:9" ht="31.2">
      <c r="A1796" s="81">
        <v>2658141</v>
      </c>
      <c r="B1796" s="8" t="s">
        <v>249</v>
      </c>
      <c r="C1796" s="34" t="s">
        <v>2998</v>
      </c>
      <c r="D1796" s="32" t="s">
        <v>220</v>
      </c>
      <c r="E1796" s="32" t="str">
        <f t="shared" si="72"/>
        <v>Ancestry.com</v>
      </c>
      <c r="F1796" s="12"/>
      <c r="G1796" s="12"/>
      <c r="H1796" s="33">
        <v>147</v>
      </c>
      <c r="I1796" s="14" t="s">
        <v>11</v>
      </c>
    </row>
    <row r="1797" spans="1:9" ht="46.8">
      <c r="A1797" s="29">
        <v>2658205</v>
      </c>
      <c r="B1797" s="8" t="s">
        <v>249</v>
      </c>
      <c r="C1797" s="16" t="s">
        <v>2999</v>
      </c>
      <c r="D1797" s="12"/>
      <c r="E1797" s="26" t="s">
        <v>14</v>
      </c>
      <c r="F1797" s="12"/>
      <c r="G1797" s="12"/>
      <c r="H1797" s="33">
        <v>21</v>
      </c>
      <c r="I1797" s="14" t="s">
        <v>15</v>
      </c>
    </row>
    <row r="1798" spans="1:9" ht="46.8">
      <c r="A1798" s="29">
        <v>2658206</v>
      </c>
      <c r="B1798" s="8" t="s">
        <v>249</v>
      </c>
      <c r="C1798" s="16" t="s">
        <v>3000</v>
      </c>
      <c r="D1798" s="12"/>
      <c r="E1798" s="26" t="s">
        <v>14</v>
      </c>
      <c r="F1798" s="12"/>
      <c r="G1798" s="12"/>
      <c r="H1798" s="33">
        <v>21</v>
      </c>
      <c r="I1798" s="14" t="s">
        <v>15</v>
      </c>
    </row>
    <row r="1799" spans="1:9" ht="46.8">
      <c r="A1799" s="29">
        <v>2658261</v>
      </c>
      <c r="B1799" s="8" t="s">
        <v>249</v>
      </c>
      <c r="C1799" s="16" t="s">
        <v>3001</v>
      </c>
      <c r="D1799" s="12"/>
      <c r="E1799" s="26" t="s">
        <v>14</v>
      </c>
      <c r="F1799" s="12"/>
      <c r="G1799" s="12"/>
      <c r="H1799" s="33">
        <v>21</v>
      </c>
      <c r="I1799" s="14" t="s">
        <v>15</v>
      </c>
    </row>
    <row r="1800" spans="1:9" ht="46.8">
      <c r="A1800" s="29">
        <v>2658262</v>
      </c>
      <c r="B1800" s="8" t="s">
        <v>249</v>
      </c>
      <c r="C1800" s="16" t="s">
        <v>3002</v>
      </c>
      <c r="D1800" s="12"/>
      <c r="E1800" s="26" t="s">
        <v>14</v>
      </c>
      <c r="F1800" s="12"/>
      <c r="G1800" s="12"/>
      <c r="H1800" s="33">
        <v>21</v>
      </c>
      <c r="I1800" s="14" t="s">
        <v>15</v>
      </c>
    </row>
    <row r="1801" spans="1:9" ht="46.8">
      <c r="A1801" s="29">
        <v>2658263</v>
      </c>
      <c r="B1801" s="8" t="s">
        <v>249</v>
      </c>
      <c r="C1801" s="16" t="s">
        <v>3003</v>
      </c>
      <c r="D1801" s="12"/>
      <c r="E1801" s="26" t="s">
        <v>14</v>
      </c>
      <c r="F1801" s="12"/>
      <c r="G1801" s="12"/>
      <c r="H1801" s="33">
        <v>21</v>
      </c>
      <c r="I1801" s="14" t="s">
        <v>15</v>
      </c>
    </row>
    <row r="1802" spans="1:9" ht="31.2">
      <c r="A1802" s="29">
        <v>2658370</v>
      </c>
      <c r="B1802" s="8" t="s">
        <v>249</v>
      </c>
      <c r="C1802" s="16" t="s">
        <v>3004</v>
      </c>
      <c r="D1802" s="12"/>
      <c r="E1802" s="26" t="s">
        <v>14</v>
      </c>
      <c r="F1802" s="12"/>
      <c r="G1802" s="12"/>
      <c r="H1802" s="33">
        <v>21</v>
      </c>
      <c r="I1802" s="14" t="s">
        <v>15</v>
      </c>
    </row>
    <row r="1803" spans="1:9" ht="46.8">
      <c r="A1803" s="29">
        <v>2658501</v>
      </c>
      <c r="B1803" s="8" t="s">
        <v>249</v>
      </c>
      <c r="C1803" s="16" t="s">
        <v>3005</v>
      </c>
      <c r="D1803" s="12"/>
      <c r="E1803" s="26" t="s">
        <v>14</v>
      </c>
      <c r="F1803" s="12"/>
      <c r="G1803" s="12"/>
      <c r="H1803" s="33">
        <v>21</v>
      </c>
      <c r="I1803" s="14" t="s">
        <v>15</v>
      </c>
    </row>
    <row r="1804" spans="1:9" ht="31.2">
      <c r="A1804" s="29">
        <v>2658514</v>
      </c>
      <c r="B1804" s="8" t="s">
        <v>249</v>
      </c>
      <c r="C1804" s="16" t="s">
        <v>3006</v>
      </c>
      <c r="D1804" s="12"/>
      <c r="E1804" s="26" t="s">
        <v>14</v>
      </c>
      <c r="F1804" s="12"/>
      <c r="G1804" s="12"/>
      <c r="H1804" s="33">
        <v>21</v>
      </c>
      <c r="I1804" s="14" t="s">
        <v>15</v>
      </c>
    </row>
    <row r="1805" spans="1:9" ht="46.8">
      <c r="A1805" s="29">
        <v>2658535</v>
      </c>
      <c r="B1805" s="8" t="s">
        <v>249</v>
      </c>
      <c r="C1805" s="16" t="s">
        <v>3007</v>
      </c>
      <c r="D1805" s="12"/>
      <c r="E1805" s="26" t="s">
        <v>14</v>
      </c>
      <c r="F1805" s="12"/>
      <c r="G1805" s="12"/>
      <c r="H1805" s="33">
        <v>21</v>
      </c>
      <c r="I1805" s="14" t="s">
        <v>15</v>
      </c>
    </row>
    <row r="1806" spans="1:9" ht="46.8">
      <c r="A1806" s="29">
        <v>2658537</v>
      </c>
      <c r="B1806" s="8" t="s">
        <v>249</v>
      </c>
      <c r="C1806" s="16" t="s">
        <v>3008</v>
      </c>
      <c r="D1806" s="12"/>
      <c r="E1806" s="26" t="s">
        <v>14</v>
      </c>
      <c r="F1806" s="12"/>
      <c r="G1806" s="12"/>
      <c r="H1806" s="33">
        <v>21</v>
      </c>
      <c r="I1806" s="14" t="s">
        <v>15</v>
      </c>
    </row>
    <row r="1807" spans="1:9" ht="46.8">
      <c r="A1807" s="29">
        <v>2658541</v>
      </c>
      <c r="B1807" s="8" t="s">
        <v>249</v>
      </c>
      <c r="C1807" s="16" t="s">
        <v>3009</v>
      </c>
      <c r="D1807" s="12"/>
      <c r="E1807" s="26" t="s">
        <v>14</v>
      </c>
      <c r="F1807" s="12"/>
      <c r="G1807" s="12"/>
      <c r="H1807" s="33">
        <v>21</v>
      </c>
      <c r="I1807" s="14" t="s">
        <v>15</v>
      </c>
    </row>
    <row r="1808" spans="1:9" ht="46.8">
      <c r="A1808" s="29">
        <v>2658542</v>
      </c>
      <c r="B1808" s="8" t="s">
        <v>249</v>
      </c>
      <c r="C1808" s="16" t="s">
        <v>3010</v>
      </c>
      <c r="D1808" s="12"/>
      <c r="E1808" s="26" t="s">
        <v>14</v>
      </c>
      <c r="F1808" s="12"/>
      <c r="G1808" s="12"/>
      <c r="H1808" s="33">
        <v>21</v>
      </c>
      <c r="I1808" s="14" t="s">
        <v>15</v>
      </c>
    </row>
    <row r="1809" spans="1:9" ht="46.8">
      <c r="A1809" s="29">
        <v>2658543</v>
      </c>
      <c r="B1809" s="8" t="s">
        <v>249</v>
      </c>
      <c r="C1809" s="16" t="s">
        <v>3011</v>
      </c>
      <c r="D1809" s="12"/>
      <c r="E1809" s="26" t="s">
        <v>14</v>
      </c>
      <c r="F1809" s="12"/>
      <c r="G1809" s="12"/>
      <c r="H1809" s="33">
        <v>21</v>
      </c>
      <c r="I1809" s="14" t="s">
        <v>15</v>
      </c>
    </row>
    <row r="1810" spans="1:9" ht="46.8">
      <c r="A1810" s="29">
        <v>2660720</v>
      </c>
      <c r="B1810" s="8" t="s">
        <v>249</v>
      </c>
      <c r="C1810" s="16" t="s">
        <v>3012</v>
      </c>
      <c r="D1810" s="12"/>
      <c r="E1810" s="26" t="s">
        <v>14</v>
      </c>
      <c r="F1810" s="12"/>
      <c r="G1810" s="12"/>
      <c r="H1810" s="33">
        <v>21</v>
      </c>
      <c r="I1810" s="14" t="s">
        <v>15</v>
      </c>
    </row>
    <row r="1811" spans="1:9" ht="46.8">
      <c r="A1811" s="29">
        <v>2660721</v>
      </c>
      <c r="B1811" s="8" t="s">
        <v>249</v>
      </c>
      <c r="C1811" s="16" t="s">
        <v>3013</v>
      </c>
      <c r="D1811" s="12"/>
      <c r="E1811" s="26" t="s">
        <v>14</v>
      </c>
      <c r="F1811" s="12"/>
      <c r="G1811" s="12"/>
      <c r="H1811" s="33">
        <v>21</v>
      </c>
      <c r="I1811" s="14" t="s">
        <v>15</v>
      </c>
    </row>
    <row r="1812" spans="1:9" ht="46.8">
      <c r="A1812" s="29">
        <v>2660722</v>
      </c>
      <c r="B1812" s="8" t="s">
        <v>249</v>
      </c>
      <c r="C1812" s="16" t="s">
        <v>3014</v>
      </c>
      <c r="D1812" s="12"/>
      <c r="E1812" s="26" t="s">
        <v>14</v>
      </c>
      <c r="F1812" s="12"/>
      <c r="G1812" s="12"/>
      <c r="H1812" s="33">
        <v>21</v>
      </c>
      <c r="I1812" s="14" t="s">
        <v>15</v>
      </c>
    </row>
    <row r="1813" spans="1:9" ht="46.8">
      <c r="A1813" s="29">
        <v>2660723</v>
      </c>
      <c r="B1813" s="8" t="s">
        <v>249</v>
      </c>
      <c r="C1813" s="16" t="s">
        <v>3015</v>
      </c>
      <c r="D1813" s="12"/>
      <c r="E1813" s="26" t="s">
        <v>14</v>
      </c>
      <c r="F1813" s="12"/>
      <c r="G1813" s="12"/>
      <c r="H1813" s="33">
        <v>21</v>
      </c>
      <c r="I1813" s="14" t="s">
        <v>15</v>
      </c>
    </row>
    <row r="1814" spans="1:9" ht="46.8">
      <c r="A1814" s="36">
        <v>2660907</v>
      </c>
      <c r="B1814" s="8" t="s">
        <v>249</v>
      </c>
      <c r="C1814" s="34" t="s">
        <v>3016</v>
      </c>
      <c r="D1814" s="32" t="s">
        <v>220</v>
      </c>
      <c r="E1814" s="32" t="str">
        <f>HYPERLINK("https://search.ancestryinstitution.com/search/db.aspx?dbid=2238","Ancestry.com")</f>
        <v>Ancestry.com</v>
      </c>
      <c r="F1814" s="12"/>
      <c r="G1814" s="12"/>
      <c r="H1814" s="33">
        <v>147</v>
      </c>
      <c r="I1814" s="14" t="s">
        <v>2628</v>
      </c>
    </row>
    <row r="1815" spans="1:9" ht="31.2">
      <c r="A1815" s="36">
        <v>2674600</v>
      </c>
      <c r="B1815" s="8" t="s">
        <v>249</v>
      </c>
      <c r="C1815" s="16" t="s">
        <v>3017</v>
      </c>
      <c r="D1815" s="12"/>
      <c r="E1815" s="12"/>
      <c r="F1815" s="32" t="s">
        <v>43</v>
      </c>
      <c r="G1815" s="12"/>
      <c r="H1815" s="33">
        <v>21</v>
      </c>
      <c r="I1815" s="14" t="s">
        <v>15</v>
      </c>
    </row>
    <row r="1816" spans="1:9" ht="46.8">
      <c r="A1816" s="81">
        <v>2678471</v>
      </c>
      <c r="B1816" s="8" t="s">
        <v>249</v>
      </c>
      <c r="C1816" s="16" t="s">
        <v>3018</v>
      </c>
      <c r="D1816" s="12"/>
      <c r="E1816" s="12"/>
      <c r="F1816" s="32" t="s">
        <v>43</v>
      </c>
      <c r="G1816" s="12"/>
      <c r="H1816" s="33">
        <v>21</v>
      </c>
      <c r="I1816" s="14" t="s">
        <v>15</v>
      </c>
    </row>
    <row r="1817" spans="1:9" ht="46.8">
      <c r="A1817" s="29">
        <v>2679339</v>
      </c>
      <c r="B1817" s="8" t="s">
        <v>249</v>
      </c>
      <c r="C1817" s="16" t="s">
        <v>3019</v>
      </c>
      <c r="D1817" s="12"/>
      <c r="E1817" s="12"/>
      <c r="F1817" s="32" t="s">
        <v>43</v>
      </c>
      <c r="G1817" s="12"/>
      <c r="H1817" s="33">
        <v>21</v>
      </c>
      <c r="I1817" s="14" t="s">
        <v>15</v>
      </c>
    </row>
    <row r="1818" spans="1:9" ht="31.2">
      <c r="A1818" s="29">
        <v>2694723</v>
      </c>
      <c r="B1818" s="8" t="s">
        <v>249</v>
      </c>
      <c r="C1818" s="54" t="s">
        <v>3020</v>
      </c>
      <c r="D1818" s="12"/>
      <c r="E1818" s="26" t="s">
        <v>14</v>
      </c>
      <c r="F1818" s="12"/>
      <c r="G1818" s="12"/>
      <c r="H1818" s="33">
        <v>52</v>
      </c>
      <c r="I1818" s="23" t="s">
        <v>11</v>
      </c>
    </row>
    <row r="1819" spans="1:9" ht="15.6">
      <c r="A1819" s="29">
        <v>2694772</v>
      </c>
      <c r="B1819" s="8" t="s">
        <v>249</v>
      </c>
      <c r="C1819" s="35" t="s">
        <v>3021</v>
      </c>
      <c r="D1819" s="12"/>
      <c r="E1819" s="26" t="s">
        <v>14</v>
      </c>
      <c r="F1819" s="12"/>
      <c r="G1819" s="12"/>
      <c r="H1819" s="33">
        <v>52</v>
      </c>
      <c r="I1819" s="14" t="s">
        <v>11</v>
      </c>
    </row>
    <row r="1820" spans="1:9" ht="31.2">
      <c r="A1820" s="8">
        <v>2733385</v>
      </c>
      <c r="B1820" s="8" t="s">
        <v>249</v>
      </c>
      <c r="C1820" s="54" t="str">
        <f>HYPERLINK("https://catalog.archives.gov/search?q=*:*&amp;f.ancestorNaIds=2733385&amp;sort=naIdSort%20asc","Index to Final Pension Payment Vouchers, 1818 - 1864")</f>
        <v>Index to Final Pension Payment Vouchers, 1818 - 1864</v>
      </c>
      <c r="D1820" s="31" t="str">
        <f>HYPERLINK("https://www.fold3.com/title/654/final-payment-vouchers-index-for-military-pensions-1818-1864","Fold3.com")</f>
        <v>Fold3.com</v>
      </c>
      <c r="E1820" s="12"/>
      <c r="F1820" s="12"/>
      <c r="G1820" s="12"/>
      <c r="H1820" s="8">
        <v>217</v>
      </c>
      <c r="I1820" s="15" t="s">
        <v>11</v>
      </c>
    </row>
    <row r="1821" spans="1:9" ht="31.2">
      <c r="A1821" s="29">
        <v>2745846</v>
      </c>
      <c r="B1821" s="8" t="s">
        <v>249</v>
      </c>
      <c r="C1821" s="35" t="s">
        <v>3022</v>
      </c>
      <c r="D1821" s="12"/>
      <c r="E1821" s="26" t="s">
        <v>14</v>
      </c>
      <c r="F1821" s="12"/>
      <c r="G1821" s="12"/>
      <c r="H1821" s="33">
        <v>52</v>
      </c>
      <c r="I1821" s="14" t="s">
        <v>11</v>
      </c>
    </row>
    <row r="1822" spans="1:9" ht="31.2">
      <c r="A1822" s="29">
        <v>2767346</v>
      </c>
      <c r="B1822" s="8" t="s">
        <v>249</v>
      </c>
      <c r="C1822" s="35" t="s">
        <v>3023</v>
      </c>
      <c r="D1822" s="12"/>
      <c r="E1822" s="26" t="s">
        <v>14</v>
      </c>
      <c r="F1822" s="12"/>
      <c r="G1822" s="12"/>
      <c r="H1822" s="33">
        <v>36</v>
      </c>
      <c r="I1822" s="23" t="s">
        <v>11</v>
      </c>
    </row>
    <row r="1823" spans="1:9" ht="31.2">
      <c r="A1823" s="29">
        <v>2767350</v>
      </c>
      <c r="B1823" s="8" t="s">
        <v>249</v>
      </c>
      <c r="C1823" s="35" t="s">
        <v>3024</v>
      </c>
      <c r="D1823" s="12"/>
      <c r="E1823" s="26" t="s">
        <v>14</v>
      </c>
      <c r="F1823" s="12"/>
      <c r="G1823" s="12"/>
      <c r="H1823" s="33">
        <v>36</v>
      </c>
      <c r="I1823" s="23" t="s">
        <v>11</v>
      </c>
    </row>
    <row r="1824" spans="1:9" ht="31.2">
      <c r="A1824" s="29">
        <v>2773663</v>
      </c>
      <c r="B1824" s="8" t="s">
        <v>249</v>
      </c>
      <c r="C1824" s="16" t="s">
        <v>3025</v>
      </c>
      <c r="D1824" s="12"/>
      <c r="E1824" s="26" t="s">
        <v>14</v>
      </c>
      <c r="F1824" s="12"/>
      <c r="G1824" s="12"/>
      <c r="H1824" s="33">
        <v>21</v>
      </c>
      <c r="I1824" s="14" t="s">
        <v>15</v>
      </c>
    </row>
    <row r="1825" spans="1:9" ht="31.2">
      <c r="A1825" s="8">
        <v>2788575</v>
      </c>
      <c r="B1825" s="8" t="s">
        <v>249</v>
      </c>
      <c r="C1825" s="37" t="s">
        <v>3026</v>
      </c>
      <c r="D1825" s="12"/>
      <c r="E1825" s="26" t="s">
        <v>14</v>
      </c>
      <c r="F1825" s="12"/>
      <c r="G1825" s="12"/>
      <c r="H1825" s="8">
        <v>41</v>
      </c>
      <c r="I1825" s="7" t="s">
        <v>15</v>
      </c>
    </row>
    <row r="1826" spans="1:9" ht="31.2">
      <c r="A1826" s="8">
        <v>2788908</v>
      </c>
      <c r="B1826" s="8" t="s">
        <v>249</v>
      </c>
      <c r="C1826" s="37" t="s">
        <v>3027</v>
      </c>
      <c r="D1826" s="12"/>
      <c r="E1826" s="12"/>
      <c r="F1826" s="31" t="str">
        <f>HYPERLINK("https://www.familysearch.org/search/catalog/2827521","FamilySearch.org")</f>
        <v>FamilySearch.org</v>
      </c>
      <c r="G1826" s="12"/>
      <c r="H1826" s="8">
        <v>36</v>
      </c>
      <c r="I1826" s="7" t="s">
        <v>15</v>
      </c>
    </row>
    <row r="1827" spans="1:9" ht="31.2">
      <c r="A1827" s="29">
        <v>2789082</v>
      </c>
      <c r="B1827" s="8" t="s">
        <v>249</v>
      </c>
      <c r="C1827" s="16" t="s">
        <v>3028</v>
      </c>
      <c r="D1827" s="12"/>
      <c r="E1827" s="26" t="s">
        <v>14</v>
      </c>
      <c r="F1827" s="12"/>
      <c r="G1827" s="12"/>
      <c r="H1827" s="33">
        <v>41</v>
      </c>
      <c r="I1827" s="14" t="s">
        <v>15</v>
      </c>
    </row>
    <row r="1828" spans="1:9" ht="46.8">
      <c r="A1828" s="8">
        <v>2789157</v>
      </c>
      <c r="B1828" s="8" t="s">
        <v>249</v>
      </c>
      <c r="C1828" s="37" t="s">
        <v>3029</v>
      </c>
      <c r="D1828" s="12"/>
      <c r="E1828" s="12"/>
      <c r="F1828" s="31" t="str">
        <f>HYPERLINK("https://www.familysearch.org/search/catalog/2827527","FamilySearch.org")</f>
        <v>FamilySearch.org</v>
      </c>
      <c r="G1828" s="12"/>
      <c r="H1828" s="8">
        <v>36</v>
      </c>
      <c r="I1828" s="7" t="s">
        <v>15</v>
      </c>
    </row>
    <row r="1829" spans="1:9" ht="31.2">
      <c r="A1829" s="8">
        <v>2790537</v>
      </c>
      <c r="B1829" s="8" t="s">
        <v>249</v>
      </c>
      <c r="C1829" s="54" t="s">
        <v>3030</v>
      </c>
      <c r="D1829" s="12"/>
      <c r="E1829" s="12"/>
      <c r="F1829" s="31" t="s">
        <v>43</v>
      </c>
      <c r="G1829" s="12"/>
      <c r="H1829" s="8">
        <v>36</v>
      </c>
      <c r="I1829" s="15" t="s">
        <v>11</v>
      </c>
    </row>
    <row r="1830" spans="1:9" ht="31.2">
      <c r="A1830" s="8">
        <v>2790736</v>
      </c>
      <c r="B1830" s="8" t="s">
        <v>249</v>
      </c>
      <c r="C1830" s="37" t="s">
        <v>3031</v>
      </c>
      <c r="D1830" s="12"/>
      <c r="E1830" s="12"/>
      <c r="F1830" s="31" t="str">
        <f>HYPERLINK("https://www.familysearch.org/search/catalog/2827521","FamilySearch.org")</f>
        <v>FamilySearch.org</v>
      </c>
      <c r="G1830" s="12"/>
      <c r="H1830" s="8">
        <v>36</v>
      </c>
      <c r="I1830" s="7" t="s">
        <v>15</v>
      </c>
    </row>
    <row r="1831" spans="1:9" ht="46.8">
      <c r="A1831" s="29">
        <v>2790827</v>
      </c>
      <c r="B1831" s="8" t="s">
        <v>249</v>
      </c>
      <c r="C1831" s="16" t="s">
        <v>3032</v>
      </c>
      <c r="D1831" s="12"/>
      <c r="E1831" s="26" t="s">
        <v>14</v>
      </c>
      <c r="F1831" s="12"/>
      <c r="G1831" s="12"/>
      <c r="H1831" s="33">
        <v>21</v>
      </c>
      <c r="I1831" s="14" t="s">
        <v>15</v>
      </c>
    </row>
    <row r="1832" spans="1:9" ht="46.8">
      <c r="A1832" s="29">
        <v>2794660</v>
      </c>
      <c r="B1832" s="8" t="s">
        <v>249</v>
      </c>
      <c r="C1832" s="16" t="s">
        <v>3033</v>
      </c>
      <c r="D1832" s="12"/>
      <c r="E1832" s="26" t="s">
        <v>14</v>
      </c>
      <c r="F1832" s="12"/>
      <c r="G1832" s="12"/>
      <c r="H1832" s="33">
        <v>21</v>
      </c>
      <c r="I1832" s="14" t="s">
        <v>15</v>
      </c>
    </row>
    <row r="1833" spans="1:9" ht="46.8">
      <c r="A1833" s="29">
        <v>2794664</v>
      </c>
      <c r="B1833" s="8" t="s">
        <v>249</v>
      </c>
      <c r="C1833" s="16" t="s">
        <v>3034</v>
      </c>
      <c r="D1833" s="12"/>
      <c r="E1833" s="26" t="s">
        <v>14</v>
      </c>
      <c r="F1833" s="12"/>
      <c r="G1833" s="12"/>
      <c r="H1833" s="33">
        <v>21</v>
      </c>
      <c r="I1833" s="14" t="s">
        <v>15</v>
      </c>
    </row>
    <row r="1834" spans="1:9" ht="46.8">
      <c r="A1834" s="29">
        <v>2806081</v>
      </c>
      <c r="B1834" s="8" t="s">
        <v>249</v>
      </c>
      <c r="C1834" s="49" t="str">
        <f>HYPERLINK("https://catalog.archives.gov/search?q=*:*&amp;f.ancestorNaIds=2806081&amp;sort=naIdSort%20asc","Military Petitions for Naturalization, Tennessee (Southern (Chattanooga) Division of the Eastern District), 1918 - 1923")</f>
        <v>Military Petitions for Naturalization, Tennessee (Southern (Chattanooga) Division of the Eastern District), 1918 - 1923</v>
      </c>
      <c r="D1834" s="12"/>
      <c r="E1834" s="26" t="s">
        <v>14</v>
      </c>
      <c r="F1834" s="12"/>
      <c r="G1834" s="12"/>
      <c r="H1834" s="33">
        <v>21</v>
      </c>
      <c r="I1834" s="23" t="s">
        <v>11</v>
      </c>
    </row>
    <row r="1835" spans="1:9" ht="46.8">
      <c r="A1835" s="29">
        <v>2806084</v>
      </c>
      <c r="B1835" s="8" t="s">
        <v>249</v>
      </c>
      <c r="C1835" s="49" t="str">
        <f>HYPERLINK("https://catalog.archives.gov/search?q=*:*&amp;f.ancestorNaIds=2806084&amp;sort=naIdSort%20asc","Military Petitions for Naturalization, Tennessee (Western (Memphis) Division of the Western District), 1918 - 1919")</f>
        <v>Military Petitions for Naturalization, Tennessee (Western (Memphis) Division of the Western District), 1918 - 1919</v>
      </c>
      <c r="D1835" s="12"/>
      <c r="E1835" s="26" t="s">
        <v>14</v>
      </c>
      <c r="F1835" s="12"/>
      <c r="G1835" s="12"/>
      <c r="H1835" s="33">
        <v>21</v>
      </c>
      <c r="I1835" s="23" t="s">
        <v>11</v>
      </c>
    </row>
    <row r="1836" spans="1:9" ht="46.8">
      <c r="A1836" s="81">
        <v>2826558</v>
      </c>
      <c r="B1836" s="8" t="s">
        <v>249</v>
      </c>
      <c r="C1836" s="85" t="s">
        <v>3035</v>
      </c>
      <c r="D1836" s="12"/>
      <c r="E1836" s="12"/>
      <c r="F1836" s="32" t="s">
        <v>43</v>
      </c>
      <c r="G1836" s="12"/>
      <c r="H1836" s="33">
        <v>21</v>
      </c>
      <c r="I1836" s="14" t="s">
        <v>15</v>
      </c>
    </row>
    <row r="1837" spans="1:9" ht="31.2">
      <c r="A1837" s="8">
        <v>2827815</v>
      </c>
      <c r="B1837" s="8" t="s">
        <v>249</v>
      </c>
      <c r="C1837" s="37" t="s">
        <v>3036</v>
      </c>
      <c r="D1837" s="12"/>
      <c r="E1837" s="12"/>
      <c r="F1837" s="31" t="str">
        <f>HYPERLINK("https://www.familysearch.org/search/catalog/2827525","FamilySearch.org")</f>
        <v>FamilySearch.org</v>
      </c>
      <c r="G1837" s="12"/>
      <c r="H1837" s="8">
        <v>36</v>
      </c>
      <c r="I1837" s="7" t="s">
        <v>15</v>
      </c>
    </row>
    <row r="1838" spans="1:9" ht="31.2">
      <c r="A1838" s="36">
        <v>2838555</v>
      </c>
      <c r="B1838" s="8" t="s">
        <v>249</v>
      </c>
      <c r="C1838" s="37" t="s">
        <v>3037</v>
      </c>
      <c r="D1838" s="32" t="s">
        <v>220</v>
      </c>
      <c r="E1838" s="32" t="str">
        <f t="shared" ref="E1838:E1841" si="73">HYPERLINK("https://search.ancestryinstitution.com/search/db.aspx?dbid=2238","Ancestry.com")</f>
        <v>Ancestry.com</v>
      </c>
      <c r="F1838" s="12"/>
      <c r="G1838" s="12"/>
      <c r="H1838" s="33">
        <v>147</v>
      </c>
      <c r="I1838" s="14" t="s">
        <v>15</v>
      </c>
    </row>
    <row r="1839" spans="1:9" ht="31.2">
      <c r="A1839" s="36">
        <v>2838556</v>
      </c>
      <c r="B1839" s="8" t="s">
        <v>249</v>
      </c>
      <c r="C1839" s="37" t="s">
        <v>3038</v>
      </c>
      <c r="D1839" s="32" t="s">
        <v>220</v>
      </c>
      <c r="E1839" s="32" t="str">
        <f t="shared" si="73"/>
        <v>Ancestry.com</v>
      </c>
      <c r="F1839" s="12"/>
      <c r="G1839" s="12"/>
      <c r="H1839" s="33">
        <v>147</v>
      </c>
      <c r="I1839" s="14" t="s">
        <v>15</v>
      </c>
    </row>
    <row r="1840" spans="1:9" ht="31.2">
      <c r="A1840" s="36">
        <v>2838557</v>
      </c>
      <c r="B1840" s="8" t="s">
        <v>249</v>
      </c>
      <c r="C1840" s="37" t="s">
        <v>3039</v>
      </c>
      <c r="D1840" s="32" t="s">
        <v>220</v>
      </c>
      <c r="E1840" s="32" t="str">
        <f t="shared" si="73"/>
        <v>Ancestry.com</v>
      </c>
      <c r="F1840" s="12"/>
      <c r="G1840" s="12"/>
      <c r="H1840" s="33">
        <v>147</v>
      </c>
      <c r="I1840" s="14" t="s">
        <v>15</v>
      </c>
    </row>
    <row r="1841" spans="1:9" ht="31.2">
      <c r="A1841" s="36">
        <v>2838690</v>
      </c>
      <c r="B1841" s="8" t="s">
        <v>249</v>
      </c>
      <c r="C1841" s="37" t="s">
        <v>3040</v>
      </c>
      <c r="D1841" s="32" t="s">
        <v>220</v>
      </c>
      <c r="E1841" s="32" t="str">
        <f t="shared" si="73"/>
        <v>Ancestry.com</v>
      </c>
      <c r="F1841" s="12"/>
      <c r="G1841" s="12"/>
      <c r="H1841" s="33">
        <v>147</v>
      </c>
      <c r="I1841" s="14" t="s">
        <v>15</v>
      </c>
    </row>
    <row r="1842" spans="1:9" ht="31.2">
      <c r="A1842" s="29">
        <v>2838796</v>
      </c>
      <c r="B1842" s="8" t="s">
        <v>249</v>
      </c>
      <c r="C1842" s="35" t="s">
        <v>3041</v>
      </c>
      <c r="D1842" s="12"/>
      <c r="E1842" s="26" t="s">
        <v>14</v>
      </c>
      <c r="F1842" s="12"/>
      <c r="G1842" s="12"/>
      <c r="H1842" s="33">
        <v>21</v>
      </c>
      <c r="I1842" s="23" t="s">
        <v>11</v>
      </c>
    </row>
    <row r="1843" spans="1:9" ht="46.8">
      <c r="A1843" s="29">
        <v>2839183</v>
      </c>
      <c r="B1843" s="8" t="s">
        <v>249</v>
      </c>
      <c r="C1843" s="16" t="s">
        <v>3042</v>
      </c>
      <c r="D1843" s="12"/>
      <c r="E1843" s="26" t="s">
        <v>14</v>
      </c>
      <c r="F1843" s="12"/>
      <c r="G1843" s="12"/>
      <c r="H1843" s="33">
        <v>21</v>
      </c>
      <c r="I1843" s="14" t="s">
        <v>15</v>
      </c>
    </row>
    <row r="1844" spans="1:9" ht="31.2">
      <c r="A1844" s="81">
        <v>2839217</v>
      </c>
      <c r="B1844" s="8" t="s">
        <v>249</v>
      </c>
      <c r="C1844" s="37" t="s">
        <v>3043</v>
      </c>
      <c r="D1844" s="32" t="s">
        <v>220</v>
      </c>
      <c r="E1844" s="32" t="str">
        <f>HYPERLINK("https://search.ancestryinstitution.com/search/db.aspx?dbid=2238","Ancestry.com")</f>
        <v>Ancestry.com</v>
      </c>
      <c r="F1844" s="12"/>
      <c r="G1844" s="12"/>
      <c r="H1844" s="33">
        <v>147</v>
      </c>
      <c r="I1844" s="14" t="s">
        <v>15</v>
      </c>
    </row>
    <row r="1845" spans="1:9" ht="46.8">
      <c r="A1845" s="29">
        <v>2843114</v>
      </c>
      <c r="B1845" s="8" t="s">
        <v>249</v>
      </c>
      <c r="C1845" s="16" t="s">
        <v>3044</v>
      </c>
      <c r="D1845" s="12"/>
      <c r="E1845" s="26" t="s">
        <v>14</v>
      </c>
      <c r="F1845" s="12"/>
      <c r="G1845" s="12"/>
      <c r="H1845" s="33">
        <v>21</v>
      </c>
      <c r="I1845" s="14" t="s">
        <v>15</v>
      </c>
    </row>
    <row r="1846" spans="1:9" ht="46.8">
      <c r="A1846" s="8">
        <v>2843163</v>
      </c>
      <c r="B1846" s="8" t="s">
        <v>249</v>
      </c>
      <c r="C1846" s="54" t="s">
        <v>3045</v>
      </c>
      <c r="D1846" s="12"/>
      <c r="E1846" s="12"/>
      <c r="F1846" s="31" t="str">
        <f>HYPERLINK("https://www.familysearch.org/search/catalog/2827521","FamilySearch.org")</f>
        <v>FamilySearch.org</v>
      </c>
      <c r="G1846" s="12"/>
      <c r="H1846" s="8">
        <v>36</v>
      </c>
      <c r="I1846" s="15" t="s">
        <v>11</v>
      </c>
    </row>
    <row r="1847" spans="1:9" ht="31.2">
      <c r="A1847" s="8">
        <v>2843635</v>
      </c>
      <c r="B1847" s="8" t="s">
        <v>249</v>
      </c>
      <c r="C1847" s="37" t="s">
        <v>3046</v>
      </c>
      <c r="D1847" s="12"/>
      <c r="E1847" s="12"/>
      <c r="F1847" s="26" t="s">
        <v>43</v>
      </c>
      <c r="G1847" s="12"/>
      <c r="H1847" s="8">
        <v>21</v>
      </c>
      <c r="I1847" s="7" t="s">
        <v>15</v>
      </c>
    </row>
    <row r="1848" spans="1:9" ht="46.8">
      <c r="A1848" s="29">
        <v>2867028</v>
      </c>
      <c r="B1848" s="8" t="s">
        <v>249</v>
      </c>
      <c r="C1848" s="35" t="s">
        <v>3047</v>
      </c>
      <c r="D1848" s="12"/>
      <c r="E1848" s="26" t="s">
        <v>14</v>
      </c>
      <c r="F1848" s="12"/>
      <c r="G1848" s="12"/>
      <c r="H1848" s="33">
        <v>21</v>
      </c>
      <c r="I1848" s="14" t="s">
        <v>11</v>
      </c>
    </row>
    <row r="1849" spans="1:9" ht="46.8">
      <c r="A1849" s="8">
        <v>2867049</v>
      </c>
      <c r="B1849" s="8" t="s">
        <v>249</v>
      </c>
      <c r="C1849" s="34" t="s">
        <v>3048</v>
      </c>
      <c r="D1849" s="12"/>
      <c r="E1849" s="12"/>
      <c r="F1849" s="31" t="str">
        <f t="shared" ref="F1849:F1851" si="74">HYPERLINK("https://www.familysearch.org/search/catalog/2822368","FamilySearch.org")</f>
        <v>FamilySearch.org</v>
      </c>
      <c r="G1849" s="12"/>
      <c r="H1849" s="8">
        <v>36</v>
      </c>
      <c r="I1849" s="7" t="s">
        <v>11</v>
      </c>
    </row>
    <row r="1850" spans="1:9" ht="31.2">
      <c r="A1850" s="8">
        <v>2867051</v>
      </c>
      <c r="B1850" s="8" t="s">
        <v>249</v>
      </c>
      <c r="C1850" s="34" t="s">
        <v>3049</v>
      </c>
      <c r="D1850" s="12"/>
      <c r="E1850" s="12"/>
      <c r="F1850" s="31" t="str">
        <f t="shared" si="74"/>
        <v>FamilySearch.org</v>
      </c>
      <c r="G1850" s="12"/>
      <c r="H1850" s="8">
        <v>36</v>
      </c>
      <c r="I1850" s="7" t="s">
        <v>11</v>
      </c>
    </row>
    <row r="1851" spans="1:9" ht="31.2">
      <c r="A1851" s="8">
        <v>2867714</v>
      </c>
      <c r="B1851" s="8" t="s">
        <v>249</v>
      </c>
      <c r="C1851" s="34" t="s">
        <v>3050</v>
      </c>
      <c r="D1851" s="12"/>
      <c r="E1851" s="12"/>
      <c r="F1851" s="31" t="str">
        <f t="shared" si="74"/>
        <v>FamilySearch.org</v>
      </c>
      <c r="G1851" s="12"/>
      <c r="H1851" s="8">
        <v>36</v>
      </c>
      <c r="I1851" s="7" t="s">
        <v>11</v>
      </c>
    </row>
    <row r="1852" spans="1:9" ht="31.2">
      <c r="A1852" s="29">
        <v>2887109</v>
      </c>
      <c r="B1852" s="8" t="s">
        <v>249</v>
      </c>
      <c r="C1852" s="16" t="s">
        <v>3051</v>
      </c>
      <c r="D1852" s="12"/>
      <c r="E1852" s="26" t="s">
        <v>14</v>
      </c>
      <c r="F1852" s="12"/>
      <c r="G1852" s="12"/>
      <c r="H1852" s="33">
        <v>21</v>
      </c>
      <c r="I1852" s="14" t="s">
        <v>15</v>
      </c>
    </row>
    <row r="1853" spans="1:9" ht="31.2">
      <c r="A1853" s="8">
        <v>2934408</v>
      </c>
      <c r="B1853" s="8" t="s">
        <v>249</v>
      </c>
      <c r="C1853" s="34" t="s">
        <v>3052</v>
      </c>
      <c r="D1853" s="12"/>
      <c r="E1853" s="12"/>
      <c r="F1853" s="31" t="str">
        <f t="shared" ref="F1853:F1855" si="75">HYPERLINK("https://www.familysearch.org/search/catalog/2822368","FamilySearch.org")</f>
        <v>FamilySearch.org</v>
      </c>
      <c r="G1853" s="12"/>
      <c r="H1853" s="8">
        <v>36</v>
      </c>
      <c r="I1853" s="7" t="s">
        <v>15</v>
      </c>
    </row>
    <row r="1854" spans="1:9" ht="31.2">
      <c r="A1854" s="8">
        <v>2934410</v>
      </c>
      <c r="B1854" s="8" t="s">
        <v>249</v>
      </c>
      <c r="C1854" s="34" t="s">
        <v>3053</v>
      </c>
      <c r="D1854" s="12"/>
      <c r="E1854" s="12"/>
      <c r="F1854" s="31" t="str">
        <f t="shared" si="75"/>
        <v>FamilySearch.org</v>
      </c>
      <c r="G1854" s="12"/>
      <c r="H1854" s="8">
        <v>36</v>
      </c>
      <c r="I1854" s="7" t="s">
        <v>11</v>
      </c>
    </row>
    <row r="1855" spans="1:9" ht="15.6">
      <c r="A1855" s="8">
        <v>2934411</v>
      </c>
      <c r="B1855" s="8" t="s">
        <v>249</v>
      </c>
      <c r="C1855" s="34" t="s">
        <v>3054</v>
      </c>
      <c r="D1855" s="12"/>
      <c r="E1855" s="12"/>
      <c r="F1855" s="31" t="str">
        <f t="shared" si="75"/>
        <v>FamilySearch.org</v>
      </c>
      <c r="G1855" s="12"/>
      <c r="H1855" s="8">
        <v>36</v>
      </c>
      <c r="I1855" s="7" t="s">
        <v>11</v>
      </c>
    </row>
    <row r="1856" spans="1:9" ht="31.2">
      <c r="A1856" s="29">
        <v>2945893</v>
      </c>
      <c r="B1856" s="8" t="s">
        <v>249</v>
      </c>
      <c r="C1856" s="35" t="s">
        <v>3055</v>
      </c>
      <c r="D1856" s="12"/>
      <c r="E1856" s="26" t="s">
        <v>14</v>
      </c>
      <c r="F1856" s="12"/>
      <c r="G1856" s="12"/>
      <c r="H1856" s="33">
        <v>21</v>
      </c>
      <c r="I1856" s="23" t="s">
        <v>11</v>
      </c>
    </row>
    <row r="1857" spans="1:9" ht="31.2">
      <c r="A1857" s="8">
        <v>3245221</v>
      </c>
      <c r="B1857" s="8" t="s">
        <v>249</v>
      </c>
      <c r="C1857" s="34" t="s">
        <v>3056</v>
      </c>
      <c r="D1857" s="12"/>
      <c r="E1857" s="12"/>
      <c r="F1857" s="31" t="str">
        <f>HYPERLINK("https://www.familysearch.org/search/catalog/2822368","FamilySearch.org")</f>
        <v>FamilySearch.org</v>
      </c>
      <c r="G1857" s="12"/>
      <c r="H1857" s="8">
        <v>36</v>
      </c>
      <c r="I1857" s="7" t="s">
        <v>11</v>
      </c>
    </row>
    <row r="1858" spans="1:9" ht="31.2">
      <c r="A1858" s="29">
        <v>3256022</v>
      </c>
      <c r="B1858" s="8" t="s">
        <v>249</v>
      </c>
      <c r="C1858" s="35" t="s">
        <v>3057</v>
      </c>
      <c r="D1858" s="12"/>
      <c r="E1858" s="26" t="s">
        <v>14</v>
      </c>
      <c r="F1858" s="12"/>
      <c r="G1858" s="12"/>
      <c r="H1858" s="33">
        <v>21</v>
      </c>
      <c r="I1858" s="23" t="s">
        <v>11</v>
      </c>
    </row>
    <row r="1859" spans="1:9" ht="46.8">
      <c r="A1859" s="8">
        <v>3260215</v>
      </c>
      <c r="B1859" s="8" t="s">
        <v>249</v>
      </c>
      <c r="C1859" s="54" t="str">
        <f>HYPERLINK("https://catalog.archives.gov/search?q=*:*&amp;f.ancestorNaIds=3260215&amp;sort=naIdSort%20asc","Records of Declarations of Intention, Connecticut (Court of Common Pleas, Litchfield County), 1874-1906")</f>
        <v>Records of Declarations of Intention, Connecticut (Court of Common Pleas, Litchfield County), 1874-1906</v>
      </c>
      <c r="D1859" s="12"/>
      <c r="E1859" s="12"/>
      <c r="F1859" s="31" t="str">
        <f>HYPERLINK("https://www.familysearch.org/search/catalog/2999523","FamilySearch.org")</f>
        <v>FamilySearch.org</v>
      </c>
      <c r="G1859" s="12"/>
      <c r="H1859" s="8" t="s">
        <v>3058</v>
      </c>
      <c r="I1859" s="15" t="s">
        <v>11</v>
      </c>
    </row>
    <row r="1860" spans="1:9" ht="46.8">
      <c r="A1860" s="29">
        <v>3281761</v>
      </c>
      <c r="B1860" s="8" t="s">
        <v>249</v>
      </c>
      <c r="C1860" s="35" t="s">
        <v>3059</v>
      </c>
      <c r="D1860" s="12"/>
      <c r="E1860" s="32"/>
      <c r="F1860" s="31" t="s">
        <v>43</v>
      </c>
      <c r="G1860" s="12"/>
      <c r="H1860" s="33" t="s">
        <v>3058</v>
      </c>
      <c r="I1860" s="23" t="s">
        <v>11</v>
      </c>
    </row>
    <row r="1861" spans="1:9" ht="31.2">
      <c r="A1861" s="8">
        <v>3315824</v>
      </c>
      <c r="B1861" s="8" t="s">
        <v>249</v>
      </c>
      <c r="C1861" s="54" t="str">
        <f>HYPERLINK("https://catalog.archives.gov/search?q=*:*&amp;f.ancestorNaIds=3315824&amp;sort=naIdSort%20asc","Petitions and Records of Naturalization for New Haven, Connecticut, 1906-1911")</f>
        <v>Petitions and Records of Naturalization for New Haven, Connecticut, 1906-1911</v>
      </c>
      <c r="D1861" s="12"/>
      <c r="E1861" s="12"/>
      <c r="F1861" s="31" t="str">
        <f>HYPERLINK("https://www.familysearch.org/search/catalog/1409121","FamilySearch.org")</f>
        <v>FamilySearch.org</v>
      </c>
      <c r="G1861" s="12"/>
      <c r="H1861" s="8">
        <v>21</v>
      </c>
      <c r="I1861" s="15" t="s">
        <v>11</v>
      </c>
    </row>
    <row r="1862" spans="1:9" ht="46.8">
      <c r="A1862" s="8">
        <v>3318899</v>
      </c>
      <c r="B1862" s="8" t="s">
        <v>249</v>
      </c>
      <c r="C1862" s="54" t="str">
        <f>HYPERLINK("https://catalog.archives.gov/search?q=*:*&amp;f.ancestorNaIds=3318899&amp;sort=naIdSort%20asc","Records of Naturalizations Connecticut (Court of Common Pleas, Litchfield County), 1875-1906")</f>
        <v>Records of Naturalizations Connecticut (Court of Common Pleas, Litchfield County), 1875-1906</v>
      </c>
      <c r="D1862" s="12"/>
      <c r="E1862" s="12"/>
      <c r="F1862" s="31" t="str">
        <f>HYPERLINK("https://www.familysearch.org/search/catalog/2999523","FamilySearch.org")</f>
        <v>FamilySearch.org</v>
      </c>
      <c r="G1862" s="12"/>
      <c r="H1862" s="8" t="s">
        <v>3058</v>
      </c>
      <c r="I1862" s="15" t="s">
        <v>11</v>
      </c>
    </row>
    <row r="1863" spans="1:9" ht="31.2">
      <c r="A1863" s="29">
        <v>3319522</v>
      </c>
      <c r="B1863" s="8" t="s">
        <v>249</v>
      </c>
      <c r="C1863" s="54" t="s">
        <v>3060</v>
      </c>
      <c r="D1863" s="12"/>
      <c r="E1863" s="32"/>
      <c r="F1863" s="31" t="s">
        <v>43</v>
      </c>
      <c r="G1863" s="12"/>
      <c r="H1863" s="33">
        <v>21</v>
      </c>
      <c r="I1863" s="23" t="s">
        <v>11</v>
      </c>
    </row>
    <row r="1864" spans="1:9" ht="46.8">
      <c r="A1864" s="8">
        <v>3325009</v>
      </c>
      <c r="B1864" s="8" t="s">
        <v>249</v>
      </c>
      <c r="C1864" s="54" t="str">
        <f>HYPERLINK("https://catalog.archives.gov/search?q=*:*&amp;f.ancestorNaIds=3325009&amp;sort=naIdSort%20asc","Records of Declarations of Intention, Connecticut (Superior Court, Litchfield County), 1851-1906")</f>
        <v>Records of Declarations of Intention, Connecticut (Superior Court, Litchfield County), 1851-1906</v>
      </c>
      <c r="D1864" s="12"/>
      <c r="E1864" s="12"/>
      <c r="F1864" s="31" t="str">
        <f>HYPERLINK("https://www.familysearch.org/search/catalog/2999523","FamilySearch.org")</f>
        <v>FamilySearch.org</v>
      </c>
      <c r="G1864" s="12"/>
      <c r="H1864" s="8" t="s">
        <v>3058</v>
      </c>
      <c r="I1864" s="15" t="s">
        <v>11</v>
      </c>
    </row>
    <row r="1865" spans="1:9" ht="46.8">
      <c r="A1865" s="29">
        <v>3325372</v>
      </c>
      <c r="B1865" s="8" t="s">
        <v>249</v>
      </c>
      <c r="C1865" s="54" t="s">
        <v>3061</v>
      </c>
      <c r="D1865" s="12"/>
      <c r="E1865" s="32"/>
      <c r="F1865" s="31" t="s">
        <v>43</v>
      </c>
      <c r="G1865" s="12"/>
      <c r="H1865" s="33" t="s">
        <v>3058</v>
      </c>
      <c r="I1865" s="23" t="s">
        <v>11</v>
      </c>
    </row>
    <row r="1866" spans="1:9" ht="46.8">
      <c r="A1866" s="29">
        <v>3325381</v>
      </c>
      <c r="B1866" s="8" t="s">
        <v>249</v>
      </c>
      <c r="C1866" s="16" t="s">
        <v>3062</v>
      </c>
      <c r="D1866" s="12"/>
      <c r="E1866" s="26" t="s">
        <v>14</v>
      </c>
      <c r="F1866" s="12"/>
      <c r="G1866" s="12"/>
      <c r="H1866" s="33">
        <v>21</v>
      </c>
      <c r="I1866" s="14" t="s">
        <v>15</v>
      </c>
    </row>
    <row r="1867" spans="1:9" ht="46.8">
      <c r="A1867" s="8">
        <v>3326107</v>
      </c>
      <c r="B1867" s="8" t="s">
        <v>249</v>
      </c>
      <c r="C1867" s="54" t="str">
        <f>HYPERLINK("https://catalog.archives.gov/search?q=*:*&amp;f.ancestorNaIds=3326107&amp;sort=naIdSort%20asc","Declarations of Intention and Petitions for Naturalization, Connecticut (Superior Court, Litchfield County), 1803-1902")</f>
        <v>Declarations of Intention and Petitions for Naturalization, Connecticut (Superior Court, Litchfield County), 1803-1902</v>
      </c>
      <c r="D1867" s="12"/>
      <c r="E1867" s="12"/>
      <c r="F1867" s="31" t="str">
        <f t="shared" ref="F1867:F1869" si="76">HYPERLINK("https://www.familysearch.org/search/catalog/2999523","FamilySearch.org")</f>
        <v>FamilySearch.org</v>
      </c>
      <c r="G1867" s="12"/>
      <c r="H1867" s="8" t="s">
        <v>3058</v>
      </c>
      <c r="I1867" s="15" t="s">
        <v>11</v>
      </c>
    </row>
    <row r="1868" spans="1:9" ht="31.2">
      <c r="A1868" s="8">
        <v>3327003</v>
      </c>
      <c r="B1868" s="8" t="s">
        <v>249</v>
      </c>
      <c r="C1868" s="54" t="str">
        <f>HYPERLINK("https://catalog.archives.gov/search?q=*:*&amp;f.ancestorNaIds=3327003&amp;sort=naIdSort%20asc","Records of Naturalizations, Connecticut (Superior Court, Litchfield County), 1842-1903")</f>
        <v>Records of Naturalizations, Connecticut (Superior Court, Litchfield County), 1842-1903</v>
      </c>
      <c r="D1868" s="12"/>
      <c r="E1868" s="12"/>
      <c r="F1868" s="31" t="str">
        <f t="shared" si="76"/>
        <v>FamilySearch.org</v>
      </c>
      <c r="G1868" s="12"/>
      <c r="H1868" s="8" t="s">
        <v>3058</v>
      </c>
      <c r="I1868" s="15" t="s">
        <v>11</v>
      </c>
    </row>
    <row r="1869" spans="1:9" ht="46.8">
      <c r="A1869" s="8">
        <v>3335209</v>
      </c>
      <c r="B1869" s="8" t="s">
        <v>249</v>
      </c>
      <c r="C1869" s="54" t="str">
        <f>HYPERLINK("https://catalog.archives.gov/search?q=*:*&amp;f.ancestorNaIds=3335209&amp;sort=naIdSort%20asc","Certificate Stubs of Naturalizations, Connecticut (Superior Court, Litchfield County), 1906-1926")</f>
        <v>Certificate Stubs of Naturalizations, Connecticut (Superior Court, Litchfield County), 1906-1926</v>
      </c>
      <c r="D1869" s="12"/>
      <c r="E1869" s="12"/>
      <c r="F1869" s="31" t="str">
        <f t="shared" si="76"/>
        <v>FamilySearch.org</v>
      </c>
      <c r="G1869" s="12"/>
      <c r="H1869" s="8" t="s">
        <v>3058</v>
      </c>
      <c r="I1869" s="15" t="s">
        <v>11</v>
      </c>
    </row>
    <row r="1870" spans="1:9" ht="46.8">
      <c r="A1870" s="29">
        <v>3349854</v>
      </c>
      <c r="B1870" s="8" t="s">
        <v>249</v>
      </c>
      <c r="C1870" s="49" t="s">
        <v>3063</v>
      </c>
      <c r="D1870" s="12"/>
      <c r="E1870" s="26" t="s">
        <v>14</v>
      </c>
      <c r="F1870" s="12"/>
      <c r="G1870" s="12"/>
      <c r="H1870" s="33">
        <v>21</v>
      </c>
      <c r="I1870" s="23" t="s">
        <v>11</v>
      </c>
    </row>
    <row r="1871" spans="1:9" ht="46.8">
      <c r="A1871" s="29">
        <v>3361338</v>
      </c>
      <c r="B1871" s="8" t="s">
        <v>249</v>
      </c>
      <c r="C1871" s="16" t="s">
        <v>3064</v>
      </c>
      <c r="D1871" s="12"/>
      <c r="E1871" s="26" t="s">
        <v>14</v>
      </c>
      <c r="F1871" s="12"/>
      <c r="G1871" s="12"/>
      <c r="H1871" s="33">
        <v>21</v>
      </c>
      <c r="I1871" s="14" t="s">
        <v>15</v>
      </c>
    </row>
    <row r="1872" spans="1:9" ht="62.4">
      <c r="A1872" s="29">
        <v>3362566</v>
      </c>
      <c r="B1872" s="8" t="s">
        <v>249</v>
      </c>
      <c r="C1872" s="16" t="s">
        <v>3065</v>
      </c>
      <c r="D1872" s="12"/>
      <c r="E1872" s="26" t="s">
        <v>14</v>
      </c>
      <c r="F1872" s="12"/>
      <c r="G1872" s="12"/>
      <c r="H1872" s="33">
        <v>21</v>
      </c>
      <c r="I1872" s="14" t="s">
        <v>15</v>
      </c>
    </row>
    <row r="1873" spans="1:9" ht="62.4">
      <c r="A1873" s="29">
        <v>3370973</v>
      </c>
      <c r="B1873" s="8" t="s">
        <v>249</v>
      </c>
      <c r="C1873" s="16" t="s">
        <v>3066</v>
      </c>
      <c r="D1873" s="12"/>
      <c r="E1873" s="26" t="s">
        <v>14</v>
      </c>
      <c r="F1873" s="12"/>
      <c r="G1873" s="12"/>
      <c r="H1873" s="33">
        <v>21</v>
      </c>
      <c r="I1873" s="14" t="s">
        <v>15</v>
      </c>
    </row>
    <row r="1874" spans="1:9" ht="46.8">
      <c r="A1874" s="8">
        <v>3386157</v>
      </c>
      <c r="B1874" s="8" t="s">
        <v>249</v>
      </c>
      <c r="C1874" s="54" t="str">
        <f>HYPERLINK("https://catalog.archives.gov/search?q=*:*&amp;f.ancestorNaIds=3386157&amp;sort=naIdSort%20asc","Burial Records (Veterans Administration. National Homes Service. Eastern Branch, Togus, Maine), 1892-1938")</f>
        <v>Burial Records (Veterans Administration. National Homes Service. Eastern Branch, Togus, Maine), 1892-1938</v>
      </c>
      <c r="D1874" s="12"/>
      <c r="E1874" s="12"/>
      <c r="F1874" s="86" t="s">
        <v>43</v>
      </c>
      <c r="G1874" s="12"/>
      <c r="H1874" s="8">
        <v>15</v>
      </c>
      <c r="I1874" s="15" t="s">
        <v>11</v>
      </c>
    </row>
    <row r="1875" spans="1:9" ht="46.8">
      <c r="A1875" s="8">
        <v>3386158</v>
      </c>
      <c r="B1875" s="8" t="s">
        <v>249</v>
      </c>
      <c r="C1875" s="54" t="str">
        <f>HYPERLINK("https://catalog.archives.gov/search?q=*:*&amp;f.ancestorNaIds=3386158&amp;sort=naIdSort%20asc","Sample Case Files of Members (Veterans Administration. National Homes Service. Eastern Branch, Togus, Maine), 1866-1932")</f>
        <v>Sample Case Files of Members (Veterans Administration. National Homes Service. Eastern Branch, Togus, Maine), 1866-1932</v>
      </c>
      <c r="D1875" s="12"/>
      <c r="E1875" s="12"/>
      <c r="F1875" s="86" t="s">
        <v>43</v>
      </c>
      <c r="G1875" s="12"/>
      <c r="H1875" s="8">
        <v>15</v>
      </c>
      <c r="I1875" s="15" t="s">
        <v>11</v>
      </c>
    </row>
    <row r="1876" spans="1:9" ht="62.4">
      <c r="A1876" s="8">
        <v>3386161</v>
      </c>
      <c r="B1876" s="8" t="s">
        <v>249</v>
      </c>
      <c r="C1876" s="54" t="str">
        <f>HYPERLINK("https://catalog.archives.gov/search?q=*:*&amp;f.ancestorNaIds=3386161&amp;sort=naIdSort%20asc","Proceedings of the Council of Administration Pertaining to Post Funds (National Asylum for Disabled Volunteer Soldiers. Eastern Branch, Togus, Maine), 1886-1895")</f>
        <v>Proceedings of the Council of Administration Pertaining to Post Funds (National Asylum for Disabled Volunteer Soldiers. Eastern Branch, Togus, Maine), 1886-1895</v>
      </c>
      <c r="D1876" s="12"/>
      <c r="E1876" s="12"/>
      <c r="F1876" s="86" t="s">
        <v>43</v>
      </c>
      <c r="G1876" s="12"/>
      <c r="H1876" s="8">
        <v>15</v>
      </c>
      <c r="I1876" s="15" t="s">
        <v>11</v>
      </c>
    </row>
    <row r="1877" spans="1:9" ht="46.8">
      <c r="A1877" s="8">
        <v>3386162</v>
      </c>
      <c r="B1877" s="8" t="s">
        <v>249</v>
      </c>
      <c r="C1877" s="54" t="str">
        <f>HYPERLINK("https://catalog.archives.gov/search?q=*:*&amp;f.ancestorNaIds=3386162&amp;sort=naIdSort%20asc","Death Records (National Asylum for Disabled Volunteer Soldiers. Eastern Branch, Togus, Maine), 1893-1899")</f>
        <v>Death Records (National Asylum for Disabled Volunteer Soldiers. Eastern Branch, Togus, Maine), 1893-1899</v>
      </c>
      <c r="D1877" s="12"/>
      <c r="E1877" s="12"/>
      <c r="F1877" s="86" t="s">
        <v>43</v>
      </c>
      <c r="G1877" s="12"/>
      <c r="H1877" s="8">
        <v>15</v>
      </c>
      <c r="I1877" s="15" t="s">
        <v>11</v>
      </c>
    </row>
    <row r="1878" spans="1:9" ht="46.8">
      <c r="A1878" s="8">
        <v>3386165</v>
      </c>
      <c r="B1878" s="8" t="s">
        <v>249</v>
      </c>
      <c r="C1878" s="54" t="str">
        <f>HYPERLINK("https://catalog.archives.gov/search?q=*:*&amp;f.ancestorNaIds=3386165&amp;sort=naIdSort%20asc","Posthumous Accounts for Individuals (National Asylum for Disabled Volunteer Soldiers. Eastern Branch, Togus, Maine), 1889-1905")</f>
        <v>Posthumous Accounts for Individuals (National Asylum for Disabled Volunteer Soldiers. Eastern Branch, Togus, Maine), 1889-1905</v>
      </c>
      <c r="D1878" s="12"/>
      <c r="E1878" s="12"/>
      <c r="F1878" s="86" t="s">
        <v>43</v>
      </c>
      <c r="G1878" s="12"/>
      <c r="H1878" s="8">
        <v>15</v>
      </c>
      <c r="I1878" s="15" t="s">
        <v>11</v>
      </c>
    </row>
    <row r="1879" spans="1:9" ht="46.8">
      <c r="A1879" s="8">
        <v>3386166</v>
      </c>
      <c r="B1879" s="8" t="s">
        <v>249</v>
      </c>
      <c r="C1879" s="54" t="str">
        <f>HYPERLINK("https://catalog.archives.gov/search?q=*:*&amp;f.ancestorNaIds=3386166&amp;sort=naIdSort%20asc","Posthumous Cash Accounts (Veterans Administration. National Homes Service. Eastern Branch, Togus, Maine), 1905-1931")</f>
        <v>Posthumous Cash Accounts (Veterans Administration. National Homes Service. Eastern Branch, Togus, Maine), 1905-1931</v>
      </c>
      <c r="D1879" s="12"/>
      <c r="E1879" s="12"/>
      <c r="F1879" s="86" t="s">
        <v>43</v>
      </c>
      <c r="G1879" s="12"/>
      <c r="H1879" s="8">
        <v>15</v>
      </c>
      <c r="I1879" s="15" t="s">
        <v>11</v>
      </c>
    </row>
    <row r="1880" spans="1:9" ht="62.4">
      <c r="A1880" s="8">
        <v>3386172</v>
      </c>
      <c r="B1880" s="8" t="s">
        <v>249</v>
      </c>
      <c r="C1880" s="54" t="str">
        <f>HYPERLINK("https://catalog.archives.gov/search?q=*:*&amp;f.ancestorNaIds=3386172&amp;sort=naIdSort%20asc","Lists of Members of Company C and Members Admitted to the Hospital (National Asylum for Disabled Volunteer Soldiers. Eastern Branch, Togus, Maine), 1873-1883")</f>
        <v>Lists of Members of Company C and Members Admitted to the Hospital (National Asylum for Disabled Volunteer Soldiers. Eastern Branch, Togus, Maine), 1873-1883</v>
      </c>
      <c r="D1880" s="12"/>
      <c r="E1880" s="12"/>
      <c r="F1880" s="86" t="s">
        <v>43</v>
      </c>
      <c r="G1880" s="12"/>
      <c r="H1880" s="8">
        <v>15</v>
      </c>
      <c r="I1880" s="15" t="s">
        <v>11</v>
      </c>
    </row>
    <row r="1881" spans="1:9" ht="31.2">
      <c r="A1881" s="8">
        <v>3432872</v>
      </c>
      <c r="B1881" s="8" t="s">
        <v>249</v>
      </c>
      <c r="C1881" s="37" t="s">
        <v>3067</v>
      </c>
      <c r="D1881" s="12"/>
      <c r="E1881" s="12"/>
      <c r="F1881" s="31" t="str">
        <f>HYPERLINK("https://www.familysearch.org/search/collection/2622566","FamilySearch.org")</f>
        <v>FamilySearch.org</v>
      </c>
      <c r="G1881" s="12"/>
      <c r="H1881" s="8">
        <v>21</v>
      </c>
      <c r="I1881" s="7" t="s">
        <v>15</v>
      </c>
    </row>
    <row r="1882" spans="1:9" ht="46.8">
      <c r="A1882" s="29">
        <v>3444809</v>
      </c>
      <c r="B1882" s="8" t="s">
        <v>249</v>
      </c>
      <c r="C1882" s="16" t="s">
        <v>3068</v>
      </c>
      <c r="D1882" s="12"/>
      <c r="E1882" s="12"/>
      <c r="F1882" s="32" t="s">
        <v>43</v>
      </c>
      <c r="G1882" s="12"/>
      <c r="H1882" s="33">
        <v>36</v>
      </c>
      <c r="I1882" s="14" t="s">
        <v>15</v>
      </c>
    </row>
    <row r="1883" spans="1:9" ht="46.8">
      <c r="A1883" s="8">
        <v>3475315</v>
      </c>
      <c r="B1883" s="8" t="s">
        <v>249</v>
      </c>
      <c r="C1883" s="34" t="s">
        <v>3069</v>
      </c>
      <c r="D1883" s="12"/>
      <c r="E1883" s="12"/>
      <c r="F1883" s="31" t="str">
        <f>HYPERLINK("https://www.familysearch.org/search/catalog/2822367","FamilySearch.org")</f>
        <v>FamilySearch.org</v>
      </c>
      <c r="G1883" s="12"/>
      <c r="H1883" s="8">
        <v>41</v>
      </c>
      <c r="I1883" s="7" t="s">
        <v>11</v>
      </c>
    </row>
    <row r="1884" spans="1:9" ht="46.8">
      <c r="A1884" s="29">
        <v>3476677</v>
      </c>
      <c r="B1884" s="8" t="s">
        <v>249</v>
      </c>
      <c r="C1884" s="16" t="s">
        <v>3070</v>
      </c>
      <c r="D1884" s="12"/>
      <c r="E1884" s="12"/>
      <c r="F1884" s="32" t="s">
        <v>43</v>
      </c>
      <c r="G1884" s="12"/>
      <c r="H1884" s="33">
        <v>36</v>
      </c>
      <c r="I1884" s="14" t="s">
        <v>15</v>
      </c>
    </row>
    <row r="1885" spans="1:9" ht="62.4">
      <c r="A1885" s="8">
        <v>3477743</v>
      </c>
      <c r="B1885" s="8" t="s">
        <v>249</v>
      </c>
      <c r="C1885" s="34" t="s">
        <v>3071</v>
      </c>
      <c r="D1885" s="12"/>
      <c r="E1885" s="12"/>
      <c r="F1885" s="31" t="str">
        <f>HYPERLINK("https://www.familysearch.org/search/catalog/2822367","FamilySearch.org")</f>
        <v>FamilySearch.org</v>
      </c>
      <c r="G1885" s="12"/>
      <c r="H1885" s="8">
        <v>41</v>
      </c>
      <c r="I1885" s="7" t="s">
        <v>11</v>
      </c>
    </row>
    <row r="1886" spans="1:9" ht="78">
      <c r="A1886" s="29">
        <v>3477933</v>
      </c>
      <c r="B1886" s="8" t="s">
        <v>249</v>
      </c>
      <c r="C1886" s="16" t="s">
        <v>3072</v>
      </c>
      <c r="D1886" s="12"/>
      <c r="E1886" s="12"/>
      <c r="F1886" s="32" t="s">
        <v>43</v>
      </c>
      <c r="G1886" s="12"/>
      <c r="H1886" s="33">
        <v>36</v>
      </c>
      <c r="I1886" s="14" t="s">
        <v>15</v>
      </c>
    </row>
    <row r="1887" spans="1:9" ht="46.8">
      <c r="A1887" s="8">
        <v>3477950</v>
      </c>
      <c r="B1887" s="8" t="s">
        <v>249</v>
      </c>
      <c r="C1887" s="34" t="s">
        <v>3073</v>
      </c>
      <c r="D1887" s="12"/>
      <c r="E1887" s="12"/>
      <c r="F1887" s="31" t="str">
        <f>HYPERLINK("https://www.familysearch.org/search/catalog/2822367","FamilySearch.org")</f>
        <v>FamilySearch.org</v>
      </c>
      <c r="G1887" s="12"/>
      <c r="H1887" s="8">
        <v>41</v>
      </c>
      <c r="I1887" s="7" t="s">
        <v>11</v>
      </c>
    </row>
    <row r="1888" spans="1:9" ht="62.4">
      <c r="A1888" s="8">
        <v>3477952</v>
      </c>
      <c r="B1888" s="8" t="s">
        <v>249</v>
      </c>
      <c r="C1888" s="37" t="s">
        <v>3074</v>
      </c>
      <c r="D1888" s="12"/>
      <c r="E1888" s="12"/>
      <c r="F1888" s="31" t="str">
        <f t="shared" ref="F1888:F1889" si="77">HYPERLINK("https://www.familysearch.org/search/catalog/2822368","FamilySearch.org")</f>
        <v>FamilySearch.org</v>
      </c>
      <c r="G1888" s="12"/>
      <c r="H1888" s="8">
        <v>41</v>
      </c>
      <c r="I1888" s="7" t="s">
        <v>15</v>
      </c>
    </row>
    <row r="1889" spans="1:9" ht="46.8">
      <c r="A1889" s="8">
        <v>3477966</v>
      </c>
      <c r="B1889" s="8" t="s">
        <v>249</v>
      </c>
      <c r="C1889" s="34" t="s">
        <v>3075</v>
      </c>
      <c r="D1889" s="12"/>
      <c r="E1889" s="12"/>
      <c r="F1889" s="31" t="str">
        <f t="shared" si="77"/>
        <v>FamilySearch.org</v>
      </c>
      <c r="G1889" s="12"/>
      <c r="H1889" s="8">
        <v>41</v>
      </c>
      <c r="I1889" s="7" t="s">
        <v>11</v>
      </c>
    </row>
    <row r="1890" spans="1:9" ht="31.2">
      <c r="A1890" s="29">
        <v>3477979</v>
      </c>
      <c r="B1890" s="8" t="s">
        <v>249</v>
      </c>
      <c r="C1890" s="16" t="s">
        <v>3076</v>
      </c>
      <c r="D1890" s="12"/>
      <c r="E1890" s="12"/>
      <c r="F1890" s="32" t="s">
        <v>43</v>
      </c>
      <c r="G1890" s="12"/>
      <c r="H1890" s="33">
        <v>36</v>
      </c>
      <c r="I1890" s="14" t="s">
        <v>15</v>
      </c>
    </row>
    <row r="1891" spans="1:9" ht="46.8">
      <c r="A1891" s="29">
        <v>3477986</v>
      </c>
      <c r="B1891" s="8" t="s">
        <v>249</v>
      </c>
      <c r="C1891" s="16" t="s">
        <v>3077</v>
      </c>
      <c r="D1891" s="12"/>
      <c r="E1891" s="12"/>
      <c r="F1891" s="32" t="s">
        <v>43</v>
      </c>
      <c r="G1891" s="12"/>
      <c r="H1891" s="33">
        <v>36</v>
      </c>
      <c r="I1891" s="14" t="s">
        <v>15</v>
      </c>
    </row>
    <row r="1892" spans="1:9" ht="46.8">
      <c r="A1892" s="8">
        <v>3477987</v>
      </c>
      <c r="B1892" s="8" t="s">
        <v>249</v>
      </c>
      <c r="C1892" s="37" t="s">
        <v>3078</v>
      </c>
      <c r="D1892" s="12"/>
      <c r="E1892" s="12"/>
      <c r="F1892" s="31" t="str">
        <f>HYPERLINK("https://www.familysearch.org/search/catalog/2299685","FamilySearch.org")</f>
        <v>FamilySearch.org</v>
      </c>
      <c r="G1892" s="12"/>
      <c r="H1892" s="8">
        <v>41</v>
      </c>
      <c r="I1892" s="7" t="s">
        <v>15</v>
      </c>
    </row>
    <row r="1893" spans="1:9" ht="46.8">
      <c r="A1893" s="87">
        <v>3477989</v>
      </c>
      <c r="B1893" s="8" t="s">
        <v>249</v>
      </c>
      <c r="C1893" s="88" t="s">
        <v>3079</v>
      </c>
      <c r="D1893" s="12"/>
      <c r="E1893" s="12"/>
      <c r="F1893" s="89" t="s">
        <v>43</v>
      </c>
      <c r="G1893" s="12"/>
      <c r="H1893" s="90">
        <v>41</v>
      </c>
      <c r="I1893" s="14" t="s">
        <v>11</v>
      </c>
    </row>
    <row r="1894" spans="1:9" ht="46.8">
      <c r="A1894" s="29">
        <v>3477996</v>
      </c>
      <c r="B1894" s="8" t="s">
        <v>249</v>
      </c>
      <c r="C1894" s="16" t="s">
        <v>3080</v>
      </c>
      <c r="D1894" s="12"/>
      <c r="E1894" s="12"/>
      <c r="F1894" s="32" t="s">
        <v>43</v>
      </c>
      <c r="G1894" s="12"/>
      <c r="H1894" s="33">
        <v>36</v>
      </c>
      <c r="I1894" s="14" t="s">
        <v>15</v>
      </c>
    </row>
    <row r="1895" spans="1:9" ht="46.8">
      <c r="A1895" s="8">
        <v>3477998</v>
      </c>
      <c r="B1895" s="8" t="s">
        <v>249</v>
      </c>
      <c r="C1895" s="34" t="s">
        <v>3081</v>
      </c>
      <c r="D1895" s="12"/>
      <c r="E1895" s="12"/>
      <c r="F1895" s="31" t="str">
        <f>HYPERLINK("https://www.familysearch.org/search/catalog/2299665","FamilySearch.org")</f>
        <v>FamilySearch.org</v>
      </c>
      <c r="G1895" s="12"/>
      <c r="H1895" s="8">
        <v>41</v>
      </c>
      <c r="I1895" s="7" t="s">
        <v>11</v>
      </c>
    </row>
    <row r="1896" spans="1:9" ht="31.2">
      <c r="A1896" s="29">
        <v>3477999</v>
      </c>
      <c r="B1896" s="8" t="s">
        <v>249</v>
      </c>
      <c r="C1896" s="16" t="s">
        <v>3082</v>
      </c>
      <c r="D1896" s="12"/>
      <c r="E1896" s="12"/>
      <c r="F1896" s="32" t="s">
        <v>43</v>
      </c>
      <c r="G1896" s="12"/>
      <c r="H1896" s="33">
        <v>36</v>
      </c>
      <c r="I1896" s="14" t="s">
        <v>15</v>
      </c>
    </row>
    <row r="1897" spans="1:9" ht="31.2">
      <c r="A1897" s="29">
        <v>3478003</v>
      </c>
      <c r="B1897" s="8" t="s">
        <v>249</v>
      </c>
      <c r="C1897" s="16" t="s">
        <v>3083</v>
      </c>
      <c r="D1897" s="12"/>
      <c r="E1897" s="12"/>
      <c r="F1897" s="32" t="s">
        <v>43</v>
      </c>
      <c r="G1897" s="12"/>
      <c r="H1897" s="33">
        <v>36</v>
      </c>
      <c r="I1897" s="14" t="s">
        <v>15</v>
      </c>
    </row>
    <row r="1898" spans="1:9" ht="31.2">
      <c r="A1898" s="29">
        <v>3514570</v>
      </c>
      <c r="B1898" s="8" t="s">
        <v>249</v>
      </c>
      <c r="C1898" s="16" t="s">
        <v>3084</v>
      </c>
      <c r="D1898" s="12"/>
      <c r="E1898" s="12"/>
      <c r="F1898" s="32" t="s">
        <v>43</v>
      </c>
      <c r="G1898" s="12"/>
      <c r="H1898" s="33">
        <v>21</v>
      </c>
      <c r="I1898" s="14" t="s">
        <v>15</v>
      </c>
    </row>
    <row r="1899" spans="1:9" ht="46.8">
      <c r="A1899" s="29">
        <v>3651554</v>
      </c>
      <c r="B1899" s="8" t="s">
        <v>249</v>
      </c>
      <c r="C1899" s="16" t="s">
        <v>3085</v>
      </c>
      <c r="D1899" s="12"/>
      <c r="E1899" s="26" t="s">
        <v>14</v>
      </c>
      <c r="F1899" s="12"/>
      <c r="G1899" s="12"/>
      <c r="H1899" s="33">
        <v>21</v>
      </c>
      <c r="I1899" s="14" t="s">
        <v>15</v>
      </c>
    </row>
    <row r="1900" spans="1:9" ht="31.2">
      <c r="A1900" s="29">
        <v>3651556</v>
      </c>
      <c r="B1900" s="8" t="s">
        <v>249</v>
      </c>
      <c r="C1900" s="16" t="s">
        <v>3086</v>
      </c>
      <c r="D1900" s="12"/>
      <c r="E1900" s="26" t="s">
        <v>14</v>
      </c>
      <c r="F1900" s="12"/>
      <c r="G1900" s="12"/>
      <c r="H1900" s="33">
        <v>21</v>
      </c>
      <c r="I1900" s="14" t="s">
        <v>15</v>
      </c>
    </row>
    <row r="1901" spans="1:9" ht="31.2">
      <c r="A1901" s="29">
        <v>3668856</v>
      </c>
      <c r="B1901" s="8" t="s">
        <v>249</v>
      </c>
      <c r="C1901" s="16" t="s">
        <v>3087</v>
      </c>
      <c r="D1901" s="12"/>
      <c r="E1901" s="26" t="s">
        <v>14</v>
      </c>
      <c r="F1901" s="12"/>
      <c r="G1901" s="12"/>
      <c r="H1901" s="33">
        <v>21</v>
      </c>
      <c r="I1901" s="14" t="s">
        <v>15</v>
      </c>
    </row>
    <row r="1902" spans="1:9" ht="31.2">
      <c r="A1902" s="29">
        <v>3668857</v>
      </c>
      <c r="B1902" s="8" t="s">
        <v>249</v>
      </c>
      <c r="C1902" s="16" t="s">
        <v>3088</v>
      </c>
      <c r="D1902" s="12"/>
      <c r="E1902" s="26" t="s">
        <v>14</v>
      </c>
      <c r="F1902" s="12"/>
      <c r="G1902" s="12"/>
      <c r="H1902" s="33">
        <v>21</v>
      </c>
      <c r="I1902" s="14" t="s">
        <v>15</v>
      </c>
    </row>
    <row r="1903" spans="1:9" ht="46.8">
      <c r="A1903" s="29">
        <v>3668880</v>
      </c>
      <c r="B1903" s="8" t="s">
        <v>249</v>
      </c>
      <c r="C1903" s="16" t="s">
        <v>3089</v>
      </c>
      <c r="D1903" s="12"/>
      <c r="E1903" s="26" t="s">
        <v>14</v>
      </c>
      <c r="F1903" s="12"/>
      <c r="G1903" s="12"/>
      <c r="H1903" s="33">
        <v>21</v>
      </c>
      <c r="I1903" s="14" t="s">
        <v>15</v>
      </c>
    </row>
    <row r="1904" spans="1:9" ht="31.2">
      <c r="A1904" s="29">
        <v>3668881</v>
      </c>
      <c r="B1904" s="8" t="s">
        <v>249</v>
      </c>
      <c r="C1904" s="16" t="s">
        <v>3090</v>
      </c>
      <c r="D1904" s="12"/>
      <c r="E1904" s="26" t="s">
        <v>14</v>
      </c>
      <c r="F1904" s="12"/>
      <c r="G1904" s="12"/>
      <c r="H1904" s="33">
        <v>21</v>
      </c>
      <c r="I1904" s="14" t="s">
        <v>15</v>
      </c>
    </row>
    <row r="1905" spans="1:9" ht="31.2">
      <c r="A1905" s="29">
        <v>3668883</v>
      </c>
      <c r="B1905" s="8" t="s">
        <v>249</v>
      </c>
      <c r="C1905" s="16" t="s">
        <v>3091</v>
      </c>
      <c r="D1905" s="12"/>
      <c r="E1905" s="26" t="s">
        <v>14</v>
      </c>
      <c r="F1905" s="12"/>
      <c r="G1905" s="12"/>
      <c r="H1905" s="33">
        <v>21</v>
      </c>
      <c r="I1905" s="14" t="s">
        <v>15</v>
      </c>
    </row>
    <row r="1906" spans="1:9" ht="31.2">
      <c r="A1906" s="29">
        <v>3705012</v>
      </c>
      <c r="B1906" s="8" t="s">
        <v>249</v>
      </c>
      <c r="C1906" s="16" t="s">
        <v>3092</v>
      </c>
      <c r="D1906" s="12"/>
      <c r="E1906" s="26" t="s">
        <v>14</v>
      </c>
      <c r="F1906" s="12"/>
      <c r="G1906" s="12"/>
      <c r="H1906" s="33">
        <v>21</v>
      </c>
      <c r="I1906" s="14" t="s">
        <v>15</v>
      </c>
    </row>
    <row r="1907" spans="1:9" ht="31.2">
      <c r="A1907" s="29">
        <v>3705014</v>
      </c>
      <c r="B1907" s="8" t="s">
        <v>249</v>
      </c>
      <c r="C1907" s="35" t="s">
        <v>3093</v>
      </c>
      <c r="D1907" s="12"/>
      <c r="E1907" s="26" t="s">
        <v>14</v>
      </c>
      <c r="F1907" s="12"/>
      <c r="G1907" s="12"/>
      <c r="H1907" s="33">
        <v>21</v>
      </c>
      <c r="I1907" s="23" t="s">
        <v>11</v>
      </c>
    </row>
    <row r="1908" spans="1:9" ht="46.8">
      <c r="A1908" s="29">
        <v>3705015</v>
      </c>
      <c r="B1908" s="8" t="s">
        <v>249</v>
      </c>
      <c r="C1908" s="16" t="s">
        <v>3094</v>
      </c>
      <c r="D1908" s="12"/>
      <c r="E1908" s="26" t="s">
        <v>14</v>
      </c>
      <c r="F1908" s="12"/>
      <c r="G1908" s="12"/>
      <c r="H1908" s="33">
        <v>21</v>
      </c>
      <c r="I1908" s="14" t="s">
        <v>15</v>
      </c>
    </row>
    <row r="1909" spans="1:9" ht="31.2">
      <c r="A1909" s="29">
        <v>3725294</v>
      </c>
      <c r="B1909" s="8" t="s">
        <v>249</v>
      </c>
      <c r="C1909" s="16" t="s">
        <v>3095</v>
      </c>
      <c r="D1909" s="12"/>
      <c r="E1909" s="26" t="s">
        <v>14</v>
      </c>
      <c r="F1909" s="12"/>
      <c r="G1909" s="12"/>
      <c r="H1909" s="33">
        <v>21</v>
      </c>
      <c r="I1909" s="14" t="s">
        <v>15</v>
      </c>
    </row>
    <row r="1910" spans="1:9" ht="46.8">
      <c r="A1910" s="29">
        <v>3725295</v>
      </c>
      <c r="B1910" s="8" t="s">
        <v>249</v>
      </c>
      <c r="C1910" s="16" t="s">
        <v>3096</v>
      </c>
      <c r="D1910" s="12"/>
      <c r="E1910" s="26" t="s">
        <v>14</v>
      </c>
      <c r="F1910" s="12"/>
      <c r="G1910" s="12"/>
      <c r="H1910" s="33">
        <v>21</v>
      </c>
      <c r="I1910" s="14" t="s">
        <v>15</v>
      </c>
    </row>
    <row r="1911" spans="1:9" ht="46.8">
      <c r="A1911" s="29">
        <v>3725296</v>
      </c>
      <c r="B1911" s="8" t="s">
        <v>249</v>
      </c>
      <c r="C1911" s="16" t="s">
        <v>3097</v>
      </c>
      <c r="D1911" s="12"/>
      <c r="E1911" s="26" t="s">
        <v>14</v>
      </c>
      <c r="F1911" s="12"/>
      <c r="G1911" s="12"/>
      <c r="H1911" s="33">
        <v>21</v>
      </c>
      <c r="I1911" s="14" t="s">
        <v>15</v>
      </c>
    </row>
    <row r="1912" spans="1:9" ht="46.8">
      <c r="A1912" s="29">
        <v>3730476</v>
      </c>
      <c r="B1912" s="8" t="s">
        <v>249</v>
      </c>
      <c r="C1912" s="16" t="s">
        <v>3098</v>
      </c>
      <c r="D1912" s="12"/>
      <c r="E1912" s="26" t="s">
        <v>14</v>
      </c>
      <c r="F1912" s="12"/>
      <c r="G1912" s="12"/>
      <c r="H1912" s="33">
        <v>21</v>
      </c>
      <c r="I1912" s="14" t="s">
        <v>15</v>
      </c>
    </row>
    <row r="1913" spans="1:9" ht="31.2">
      <c r="A1913" s="29">
        <v>3730478</v>
      </c>
      <c r="B1913" s="8" t="s">
        <v>249</v>
      </c>
      <c r="C1913" s="16" t="s">
        <v>3099</v>
      </c>
      <c r="D1913" s="12"/>
      <c r="E1913" s="26" t="s">
        <v>14</v>
      </c>
      <c r="F1913" s="12"/>
      <c r="G1913" s="12"/>
      <c r="H1913" s="33">
        <v>21</v>
      </c>
      <c r="I1913" s="14" t="s">
        <v>15</v>
      </c>
    </row>
    <row r="1914" spans="1:9" ht="31.2">
      <c r="A1914" s="29">
        <v>3730481</v>
      </c>
      <c r="B1914" s="8" t="s">
        <v>249</v>
      </c>
      <c r="C1914" s="16" t="s">
        <v>3100</v>
      </c>
      <c r="D1914" s="12"/>
      <c r="E1914" s="26" t="s">
        <v>14</v>
      </c>
      <c r="F1914" s="12"/>
      <c r="G1914" s="12"/>
      <c r="H1914" s="33">
        <v>21</v>
      </c>
      <c r="I1914" s="14" t="s">
        <v>15</v>
      </c>
    </row>
    <row r="1915" spans="1:9" ht="31.2">
      <c r="A1915" s="29">
        <v>3730487</v>
      </c>
      <c r="B1915" s="8" t="s">
        <v>249</v>
      </c>
      <c r="C1915" s="16" t="s">
        <v>3101</v>
      </c>
      <c r="D1915" s="12"/>
      <c r="E1915" s="26" t="s">
        <v>14</v>
      </c>
      <c r="F1915" s="12"/>
      <c r="G1915" s="12"/>
      <c r="H1915" s="33">
        <v>21</v>
      </c>
      <c r="I1915" s="14" t="s">
        <v>15</v>
      </c>
    </row>
    <row r="1916" spans="1:9" ht="46.8">
      <c r="A1916" s="29">
        <v>3730794</v>
      </c>
      <c r="B1916" s="8" t="s">
        <v>249</v>
      </c>
      <c r="C1916" s="16" t="s">
        <v>3102</v>
      </c>
      <c r="D1916" s="12"/>
      <c r="E1916" s="26" t="s">
        <v>14</v>
      </c>
      <c r="F1916" s="12"/>
      <c r="G1916" s="12"/>
      <c r="H1916" s="33">
        <v>21</v>
      </c>
      <c r="I1916" s="14" t="s">
        <v>15</v>
      </c>
    </row>
    <row r="1917" spans="1:9" ht="31.2">
      <c r="A1917" s="29">
        <v>3740519</v>
      </c>
      <c r="B1917" s="8" t="s">
        <v>249</v>
      </c>
      <c r="C1917" s="16" t="s">
        <v>3103</v>
      </c>
      <c r="D1917" s="12"/>
      <c r="E1917" s="26" t="s">
        <v>14</v>
      </c>
      <c r="F1917" s="12"/>
      <c r="G1917" s="12"/>
      <c r="H1917" s="33">
        <v>21</v>
      </c>
      <c r="I1917" s="14" t="s">
        <v>15</v>
      </c>
    </row>
    <row r="1918" spans="1:9" ht="31.2">
      <c r="A1918" s="29">
        <v>3740521</v>
      </c>
      <c r="B1918" s="8" t="s">
        <v>249</v>
      </c>
      <c r="C1918" s="16" t="s">
        <v>3104</v>
      </c>
      <c r="D1918" s="12"/>
      <c r="E1918" s="26" t="s">
        <v>14</v>
      </c>
      <c r="F1918" s="12"/>
      <c r="G1918" s="12"/>
      <c r="H1918" s="33">
        <v>21</v>
      </c>
      <c r="I1918" s="14" t="s">
        <v>15</v>
      </c>
    </row>
    <row r="1919" spans="1:9" ht="31.2">
      <c r="A1919" s="29">
        <v>3740524</v>
      </c>
      <c r="B1919" s="8" t="s">
        <v>249</v>
      </c>
      <c r="C1919" s="16" t="s">
        <v>3105</v>
      </c>
      <c r="D1919" s="12"/>
      <c r="E1919" s="26" t="s">
        <v>14</v>
      </c>
      <c r="F1919" s="12"/>
      <c r="G1919" s="12"/>
      <c r="H1919" s="33">
        <v>21</v>
      </c>
      <c r="I1919" s="14" t="s">
        <v>15</v>
      </c>
    </row>
    <row r="1920" spans="1:9" ht="31.2">
      <c r="A1920" s="29">
        <v>3741390</v>
      </c>
      <c r="B1920" s="8" t="s">
        <v>249</v>
      </c>
      <c r="C1920" s="35" t="s">
        <v>3106</v>
      </c>
      <c r="D1920" s="12"/>
      <c r="E1920" s="26" t="s">
        <v>14</v>
      </c>
      <c r="F1920" s="12"/>
      <c r="G1920" s="12"/>
      <c r="H1920" s="33">
        <v>21</v>
      </c>
      <c r="I1920" s="23" t="s">
        <v>11</v>
      </c>
    </row>
    <row r="1921" spans="1:9" ht="46.8">
      <c r="A1921" s="29">
        <v>3741394</v>
      </c>
      <c r="B1921" s="8" t="s">
        <v>249</v>
      </c>
      <c r="C1921" s="16" t="s">
        <v>3107</v>
      </c>
      <c r="D1921" s="12"/>
      <c r="E1921" s="26" t="s">
        <v>14</v>
      </c>
      <c r="F1921" s="12"/>
      <c r="G1921" s="12"/>
      <c r="H1921" s="33">
        <v>21</v>
      </c>
      <c r="I1921" s="14" t="s">
        <v>15</v>
      </c>
    </row>
    <row r="1922" spans="1:9" ht="46.8">
      <c r="A1922" s="29">
        <v>3763723</v>
      </c>
      <c r="B1922" s="8" t="s">
        <v>249</v>
      </c>
      <c r="C1922" s="16" t="s">
        <v>3108</v>
      </c>
      <c r="D1922" s="12"/>
      <c r="E1922" s="26" t="s">
        <v>14</v>
      </c>
      <c r="F1922" s="12"/>
      <c r="G1922" s="12"/>
      <c r="H1922" s="33">
        <v>21</v>
      </c>
      <c r="I1922" s="14" t="s">
        <v>15</v>
      </c>
    </row>
    <row r="1923" spans="1:9" ht="31.2">
      <c r="A1923" s="29">
        <v>3778821</v>
      </c>
      <c r="B1923" s="8" t="s">
        <v>249</v>
      </c>
      <c r="C1923" s="16" t="s">
        <v>3109</v>
      </c>
      <c r="D1923" s="12"/>
      <c r="E1923" s="26" t="s">
        <v>14</v>
      </c>
      <c r="F1923" s="12"/>
      <c r="G1923" s="12"/>
      <c r="H1923" s="33">
        <v>21</v>
      </c>
      <c r="I1923" s="14" t="s">
        <v>15</v>
      </c>
    </row>
    <row r="1924" spans="1:9" ht="46.8">
      <c r="A1924" s="29">
        <v>3778822</v>
      </c>
      <c r="B1924" s="8" t="s">
        <v>249</v>
      </c>
      <c r="C1924" s="16" t="s">
        <v>3110</v>
      </c>
      <c r="D1924" s="12"/>
      <c r="E1924" s="26" t="s">
        <v>14</v>
      </c>
      <c r="F1924" s="12"/>
      <c r="G1924" s="12"/>
      <c r="H1924" s="33">
        <v>21</v>
      </c>
      <c r="I1924" s="14" t="s">
        <v>15</v>
      </c>
    </row>
    <row r="1925" spans="1:9" ht="31.2">
      <c r="A1925" s="29">
        <v>3779339</v>
      </c>
      <c r="B1925" s="8" t="s">
        <v>249</v>
      </c>
      <c r="C1925" s="16" t="s">
        <v>3111</v>
      </c>
      <c r="D1925" s="12"/>
      <c r="E1925" s="26" t="s">
        <v>14</v>
      </c>
      <c r="F1925" s="12"/>
      <c r="G1925" s="12"/>
      <c r="H1925" s="33">
        <v>21</v>
      </c>
      <c r="I1925" s="14" t="s">
        <v>15</v>
      </c>
    </row>
    <row r="1926" spans="1:9" ht="31.2">
      <c r="A1926" s="29">
        <v>3779967</v>
      </c>
      <c r="B1926" s="8" t="s">
        <v>249</v>
      </c>
      <c r="C1926" s="16" t="s">
        <v>3112</v>
      </c>
      <c r="D1926" s="12"/>
      <c r="E1926" s="26" t="s">
        <v>14</v>
      </c>
      <c r="F1926" s="12"/>
      <c r="G1926" s="12"/>
      <c r="H1926" s="33">
        <v>21</v>
      </c>
      <c r="I1926" s="14" t="s">
        <v>15</v>
      </c>
    </row>
    <row r="1927" spans="1:9" ht="31.2">
      <c r="A1927" s="29">
        <v>3780676</v>
      </c>
      <c r="B1927" s="8" t="s">
        <v>249</v>
      </c>
      <c r="C1927" s="16" t="s">
        <v>3113</v>
      </c>
      <c r="D1927" s="12"/>
      <c r="E1927" s="26" t="s">
        <v>14</v>
      </c>
      <c r="F1927" s="12"/>
      <c r="G1927" s="12"/>
      <c r="H1927" s="33">
        <v>21</v>
      </c>
      <c r="I1927" s="14" t="s">
        <v>15</v>
      </c>
    </row>
    <row r="1928" spans="1:9" ht="46.8">
      <c r="A1928" s="29">
        <v>3781225</v>
      </c>
      <c r="B1928" s="8" t="s">
        <v>249</v>
      </c>
      <c r="C1928" s="16" t="s">
        <v>3114</v>
      </c>
      <c r="D1928" s="12"/>
      <c r="E1928" s="26" t="s">
        <v>14</v>
      </c>
      <c r="F1928" s="12"/>
      <c r="G1928" s="12"/>
      <c r="H1928" s="33">
        <v>21</v>
      </c>
      <c r="I1928" s="14" t="s">
        <v>15</v>
      </c>
    </row>
    <row r="1929" spans="1:9" ht="31.2">
      <c r="A1929" s="29">
        <v>3794107</v>
      </c>
      <c r="B1929" s="8" t="s">
        <v>249</v>
      </c>
      <c r="C1929" s="16" t="s">
        <v>3115</v>
      </c>
      <c r="D1929" s="12"/>
      <c r="E1929" s="26" t="s">
        <v>14</v>
      </c>
      <c r="F1929" s="12"/>
      <c r="G1929" s="12"/>
      <c r="H1929" s="33">
        <v>21</v>
      </c>
      <c r="I1929" s="14" t="s">
        <v>15</v>
      </c>
    </row>
    <row r="1930" spans="1:9" ht="31.2">
      <c r="A1930" s="29">
        <v>3819285</v>
      </c>
      <c r="B1930" s="8" t="s">
        <v>249</v>
      </c>
      <c r="C1930" s="16" t="s">
        <v>3116</v>
      </c>
      <c r="D1930" s="12"/>
      <c r="E1930" s="26" t="s">
        <v>14</v>
      </c>
      <c r="F1930" s="12"/>
      <c r="G1930" s="12"/>
      <c r="H1930" s="33">
        <v>21</v>
      </c>
      <c r="I1930" s="14" t="s">
        <v>15</v>
      </c>
    </row>
    <row r="1931" spans="1:9" ht="31.2">
      <c r="A1931" s="29">
        <v>3822417</v>
      </c>
      <c r="B1931" s="8" t="s">
        <v>249</v>
      </c>
      <c r="C1931" s="16" t="s">
        <v>3117</v>
      </c>
      <c r="D1931" s="12"/>
      <c r="E1931" s="26" t="s">
        <v>14</v>
      </c>
      <c r="F1931" s="12"/>
      <c r="G1931" s="12"/>
      <c r="H1931" s="33">
        <v>21</v>
      </c>
      <c r="I1931" s="14" t="s">
        <v>15</v>
      </c>
    </row>
    <row r="1932" spans="1:9" ht="31.2">
      <c r="A1932" s="36">
        <v>4102816</v>
      </c>
      <c r="B1932" s="8" t="s">
        <v>249</v>
      </c>
      <c r="C1932" s="16" t="s">
        <v>3118</v>
      </c>
      <c r="D1932" s="12"/>
      <c r="E1932" s="12"/>
      <c r="F1932" s="32" t="s">
        <v>43</v>
      </c>
      <c r="G1932" s="12"/>
      <c r="H1932" s="33">
        <v>21</v>
      </c>
      <c r="I1932" s="14" t="s">
        <v>15</v>
      </c>
    </row>
    <row r="1933" spans="1:9" ht="31.2">
      <c r="A1933" s="8">
        <v>4105106</v>
      </c>
      <c r="B1933" s="8" t="s">
        <v>249</v>
      </c>
      <c r="C1933" s="37" t="s">
        <v>3119</v>
      </c>
      <c r="D1933" s="12"/>
      <c r="E1933" s="12"/>
      <c r="F1933" s="31" t="str">
        <f>HYPERLINK("https://www.familysearch.org/search/catalog/2785365","FamilySearch.org")</f>
        <v>FamilySearch.org</v>
      </c>
      <c r="G1933" s="12"/>
      <c r="H1933" s="8">
        <v>21</v>
      </c>
      <c r="I1933" s="7" t="s">
        <v>15</v>
      </c>
    </row>
    <row r="1934" spans="1:9" ht="31.2">
      <c r="A1934" s="8">
        <v>4151985</v>
      </c>
      <c r="B1934" s="8" t="s">
        <v>249</v>
      </c>
      <c r="C1934" s="37" t="s">
        <v>3120</v>
      </c>
      <c r="D1934" s="12"/>
      <c r="E1934" s="12"/>
      <c r="F1934" s="31" t="str">
        <f>HYPERLINK("https://www.familysearch.org/search/catalog/3273151","FamilySearch.org")</f>
        <v>FamilySearch.org</v>
      </c>
      <c r="G1934" s="12"/>
      <c r="H1934" s="8">
        <v>21</v>
      </c>
      <c r="I1934" s="7" t="s">
        <v>15</v>
      </c>
    </row>
    <row r="1935" spans="1:9" ht="31.2">
      <c r="A1935" s="29">
        <v>4212457</v>
      </c>
      <c r="B1935" s="8" t="s">
        <v>249</v>
      </c>
      <c r="C1935" s="16" t="s">
        <v>3121</v>
      </c>
      <c r="D1935" s="12"/>
      <c r="E1935" s="26" t="s">
        <v>14</v>
      </c>
      <c r="F1935" s="12"/>
      <c r="G1935" s="12"/>
      <c r="H1935" s="33">
        <v>21</v>
      </c>
      <c r="I1935" s="14" t="s">
        <v>15</v>
      </c>
    </row>
    <row r="1936" spans="1:9" ht="31.2">
      <c r="A1936" s="29">
        <v>4213514</v>
      </c>
      <c r="B1936" s="8" t="s">
        <v>249</v>
      </c>
      <c r="C1936" s="35" t="s">
        <v>3122</v>
      </c>
      <c r="D1936" s="12"/>
      <c r="E1936" s="26" t="s">
        <v>14</v>
      </c>
      <c r="F1936" s="12"/>
      <c r="G1936" s="12"/>
      <c r="H1936" s="33">
        <v>110</v>
      </c>
      <c r="I1936" s="23" t="s">
        <v>18</v>
      </c>
    </row>
    <row r="1937" spans="1:9" ht="31.2">
      <c r="A1937" s="8">
        <v>4275708</v>
      </c>
      <c r="B1937" s="8" t="s">
        <v>249</v>
      </c>
      <c r="C1937" s="37" t="s">
        <v>3123</v>
      </c>
      <c r="D1937" s="12"/>
      <c r="E1937" s="12"/>
      <c r="F1937" s="31" t="str">
        <f>HYPERLINK("https://www.familysearch.org/search/catalog/2859736","FamilySearch.org")</f>
        <v>FamilySearch.org</v>
      </c>
      <c r="G1937" s="12"/>
      <c r="H1937" s="8">
        <v>21</v>
      </c>
      <c r="I1937" s="7" t="s">
        <v>15</v>
      </c>
    </row>
    <row r="1938" spans="1:9" ht="31.2">
      <c r="A1938" s="8">
        <v>4325221</v>
      </c>
      <c r="B1938" s="8" t="s">
        <v>249</v>
      </c>
      <c r="C1938" s="34" t="s">
        <v>3124</v>
      </c>
      <c r="D1938" s="12"/>
      <c r="E1938" s="12"/>
      <c r="F1938" s="31" t="str">
        <f>HYPERLINK("https://www.familysearch.org/search/catalog/2829740","FamilySearch.org")</f>
        <v>FamilySearch.org</v>
      </c>
      <c r="G1938" s="12"/>
      <c r="H1938" s="8">
        <v>36</v>
      </c>
      <c r="I1938" s="7" t="s">
        <v>11</v>
      </c>
    </row>
    <row r="1939" spans="1:9" ht="15.6">
      <c r="A1939" s="8">
        <v>4335337</v>
      </c>
      <c r="B1939" s="8" t="s">
        <v>249</v>
      </c>
      <c r="C1939" s="34" t="s">
        <v>3125</v>
      </c>
      <c r="D1939" s="12"/>
      <c r="E1939" s="12"/>
      <c r="F1939" s="31" t="str">
        <f>HYPERLINK("https://www.familysearch.org/search/catalog/2829738","FamilySearch.org")</f>
        <v>FamilySearch.org</v>
      </c>
      <c r="G1939" s="12"/>
      <c r="H1939" s="8">
        <v>36</v>
      </c>
      <c r="I1939" s="7" t="s">
        <v>11</v>
      </c>
    </row>
    <row r="1940" spans="1:9" ht="31.2">
      <c r="A1940" s="29">
        <v>4397724</v>
      </c>
      <c r="B1940" s="8" t="s">
        <v>249</v>
      </c>
      <c r="C1940" s="16" t="s">
        <v>3126</v>
      </c>
      <c r="D1940" s="12"/>
      <c r="E1940" s="26" t="s">
        <v>14</v>
      </c>
      <c r="F1940" s="12"/>
      <c r="G1940" s="12"/>
      <c r="H1940" s="33">
        <v>21</v>
      </c>
      <c r="I1940" s="14" t="s">
        <v>15</v>
      </c>
    </row>
    <row r="1941" spans="1:9" ht="31.2">
      <c r="A1941" s="91">
        <v>4424085</v>
      </c>
      <c r="B1941" s="8" t="s">
        <v>249</v>
      </c>
      <c r="C1941" s="37" t="s">
        <v>3127</v>
      </c>
      <c r="D1941" s="12"/>
      <c r="E1941" s="12"/>
      <c r="F1941" s="32" t="s">
        <v>43</v>
      </c>
      <c r="G1941" s="12"/>
      <c r="H1941" s="33">
        <v>21</v>
      </c>
      <c r="I1941" s="14" t="s">
        <v>15</v>
      </c>
    </row>
    <row r="1942" spans="1:9" ht="31.2">
      <c r="A1942" s="29">
        <v>4444138</v>
      </c>
      <c r="B1942" s="8" t="s">
        <v>249</v>
      </c>
      <c r="C1942" s="16" t="s">
        <v>3128</v>
      </c>
      <c r="D1942" s="12"/>
      <c r="E1942" s="26" t="s">
        <v>14</v>
      </c>
      <c r="F1942" s="12"/>
      <c r="G1942" s="12"/>
      <c r="H1942" s="33">
        <v>21</v>
      </c>
      <c r="I1942" s="14" t="s">
        <v>15</v>
      </c>
    </row>
    <row r="1943" spans="1:9" ht="31.2">
      <c r="A1943" s="29">
        <v>4444140</v>
      </c>
      <c r="B1943" s="8" t="s">
        <v>249</v>
      </c>
      <c r="C1943" s="16" t="s">
        <v>3129</v>
      </c>
      <c r="D1943" s="12"/>
      <c r="E1943" s="26" t="s">
        <v>14</v>
      </c>
      <c r="F1943" s="12"/>
      <c r="G1943" s="12"/>
      <c r="H1943" s="33">
        <v>21</v>
      </c>
      <c r="I1943" s="14" t="s">
        <v>15</v>
      </c>
    </row>
    <row r="1944" spans="1:9" ht="46.8">
      <c r="A1944" s="29">
        <v>4477452</v>
      </c>
      <c r="B1944" s="8" t="s">
        <v>249</v>
      </c>
      <c r="C1944" s="37" t="s">
        <v>3130</v>
      </c>
      <c r="D1944" s="12"/>
      <c r="E1944" s="26" t="s">
        <v>14</v>
      </c>
      <c r="F1944" s="12"/>
      <c r="G1944" s="12"/>
      <c r="H1944" s="33">
        <v>21</v>
      </c>
      <c r="I1944" s="14" t="s">
        <v>15</v>
      </c>
    </row>
    <row r="1945" spans="1:9" ht="62.4">
      <c r="A1945" s="29">
        <v>4477471</v>
      </c>
      <c r="B1945" s="8" t="s">
        <v>249</v>
      </c>
      <c r="C1945" s="37" t="s">
        <v>3131</v>
      </c>
      <c r="D1945" s="12"/>
      <c r="E1945" s="26" t="s">
        <v>14</v>
      </c>
      <c r="F1945" s="12"/>
      <c r="G1945" s="12"/>
      <c r="H1945" s="33">
        <v>21</v>
      </c>
      <c r="I1945" s="14" t="s">
        <v>15</v>
      </c>
    </row>
    <row r="1946" spans="1:9" ht="46.8">
      <c r="A1946" s="29">
        <v>4477496</v>
      </c>
      <c r="B1946" s="8" t="s">
        <v>249</v>
      </c>
      <c r="C1946" s="37" t="s">
        <v>3132</v>
      </c>
      <c r="D1946" s="12"/>
      <c r="E1946" s="26" t="s">
        <v>14</v>
      </c>
      <c r="F1946" s="12"/>
      <c r="G1946" s="12"/>
      <c r="H1946" s="33">
        <v>21</v>
      </c>
      <c r="I1946" s="14" t="s">
        <v>15</v>
      </c>
    </row>
    <row r="1947" spans="1:9" ht="31.2">
      <c r="A1947" s="29">
        <v>4477673</v>
      </c>
      <c r="B1947" s="8" t="s">
        <v>249</v>
      </c>
      <c r="C1947" s="35" t="s">
        <v>3133</v>
      </c>
      <c r="D1947" s="12"/>
      <c r="E1947" s="26" t="s">
        <v>14</v>
      </c>
      <c r="F1947" s="12"/>
      <c r="G1947" s="12"/>
      <c r="H1947" s="33">
        <v>21</v>
      </c>
      <c r="I1947" s="14" t="s">
        <v>18</v>
      </c>
    </row>
    <row r="1948" spans="1:9" ht="31.2">
      <c r="A1948" s="29">
        <v>4477674</v>
      </c>
      <c r="B1948" s="8" t="s">
        <v>249</v>
      </c>
      <c r="C1948" s="35" t="s">
        <v>3134</v>
      </c>
      <c r="D1948" s="12"/>
      <c r="E1948" s="26" t="s">
        <v>14</v>
      </c>
      <c r="F1948" s="12"/>
      <c r="G1948" s="12"/>
      <c r="H1948" s="33">
        <v>21</v>
      </c>
      <c r="I1948" s="14" t="s">
        <v>18</v>
      </c>
    </row>
    <row r="1949" spans="1:9" ht="31.2">
      <c r="A1949" s="29">
        <v>4477675</v>
      </c>
      <c r="B1949" s="8" t="s">
        <v>249</v>
      </c>
      <c r="C1949" s="35" t="s">
        <v>3135</v>
      </c>
      <c r="D1949" s="12"/>
      <c r="E1949" s="26" t="s">
        <v>14</v>
      </c>
      <c r="F1949" s="12"/>
      <c r="G1949" s="12"/>
      <c r="H1949" s="33">
        <v>21</v>
      </c>
      <c r="I1949" s="14" t="s">
        <v>11</v>
      </c>
    </row>
    <row r="1950" spans="1:9" ht="31.2">
      <c r="A1950" s="29">
        <v>4477676</v>
      </c>
      <c r="B1950" s="8" t="s">
        <v>249</v>
      </c>
      <c r="C1950" s="16" t="s">
        <v>3136</v>
      </c>
      <c r="D1950" s="12"/>
      <c r="E1950" s="26" t="s">
        <v>14</v>
      </c>
      <c r="F1950" s="12"/>
      <c r="G1950" s="12"/>
      <c r="H1950" s="33">
        <v>21</v>
      </c>
      <c r="I1950" s="14" t="s">
        <v>15</v>
      </c>
    </row>
    <row r="1951" spans="1:9" ht="46.8">
      <c r="A1951" s="29">
        <v>4477677</v>
      </c>
      <c r="B1951" s="8" t="s">
        <v>249</v>
      </c>
      <c r="C1951" s="83" t="s">
        <v>3137</v>
      </c>
      <c r="D1951" s="12"/>
      <c r="E1951" s="26" t="s">
        <v>14</v>
      </c>
      <c r="F1951" s="12"/>
      <c r="G1951" s="12"/>
      <c r="H1951" s="33">
        <v>21</v>
      </c>
      <c r="I1951" s="14" t="s">
        <v>11</v>
      </c>
    </row>
    <row r="1952" spans="1:9" ht="46.8">
      <c r="A1952" s="29">
        <v>4477678</v>
      </c>
      <c r="B1952" s="8" t="s">
        <v>249</v>
      </c>
      <c r="C1952" s="83" t="s">
        <v>3138</v>
      </c>
      <c r="D1952" s="12"/>
      <c r="E1952" s="26" t="s">
        <v>14</v>
      </c>
      <c r="F1952" s="12"/>
      <c r="G1952" s="12"/>
      <c r="H1952" s="33">
        <v>21</v>
      </c>
      <c r="I1952" s="14" t="s">
        <v>11</v>
      </c>
    </row>
    <row r="1953" spans="1:9" ht="62.4">
      <c r="A1953" s="29">
        <v>4477905</v>
      </c>
      <c r="B1953" s="8" t="s">
        <v>249</v>
      </c>
      <c r="C1953" s="35" t="s">
        <v>3139</v>
      </c>
      <c r="D1953" s="12"/>
      <c r="E1953" s="26" t="s">
        <v>14</v>
      </c>
      <c r="F1953" s="12"/>
      <c r="G1953" s="12"/>
      <c r="H1953" s="33">
        <v>21</v>
      </c>
      <c r="I1953" s="14" t="s">
        <v>11</v>
      </c>
    </row>
    <row r="1954" spans="1:9" ht="46.8">
      <c r="A1954" s="29">
        <v>4478178</v>
      </c>
      <c r="B1954" s="8" t="s">
        <v>249</v>
      </c>
      <c r="C1954" s="16" t="s">
        <v>3140</v>
      </c>
      <c r="D1954" s="12"/>
      <c r="E1954" s="12"/>
      <c r="F1954" s="32" t="s">
        <v>43</v>
      </c>
      <c r="G1954" s="12"/>
      <c r="H1954" s="33">
        <v>21</v>
      </c>
      <c r="I1954" s="14" t="s">
        <v>15</v>
      </c>
    </row>
    <row r="1955" spans="1:9" ht="31.2">
      <c r="A1955" s="8">
        <v>4478493</v>
      </c>
      <c r="B1955" s="8" t="s">
        <v>249</v>
      </c>
      <c r="C1955" s="37" t="s">
        <v>3141</v>
      </c>
      <c r="D1955" s="12"/>
      <c r="E1955" s="12"/>
      <c r="F1955" s="31" t="str">
        <f>HYPERLINK("https://www.familysearch.org/search/catalog/2550250","FamilySearch.org")</f>
        <v>FamilySearch.org</v>
      </c>
      <c r="G1955" s="12"/>
      <c r="H1955" s="8">
        <v>36</v>
      </c>
      <c r="I1955" s="7" t="s">
        <v>15</v>
      </c>
    </row>
    <row r="1956" spans="1:9" ht="46.8">
      <c r="A1956" s="29">
        <v>4481511</v>
      </c>
      <c r="B1956" s="8" t="s">
        <v>249</v>
      </c>
      <c r="C1956" s="16" t="s">
        <v>3142</v>
      </c>
      <c r="D1956" s="12"/>
      <c r="E1956" s="12"/>
      <c r="F1956" s="32" t="s">
        <v>43</v>
      </c>
      <c r="G1956" s="12"/>
      <c r="H1956" s="33">
        <v>21</v>
      </c>
      <c r="I1956" s="7" t="s">
        <v>15</v>
      </c>
    </row>
    <row r="1957" spans="1:9" ht="31.2">
      <c r="A1957" s="8">
        <v>4481610</v>
      </c>
      <c r="B1957" s="8" t="s">
        <v>249</v>
      </c>
      <c r="C1957" s="34" t="s">
        <v>3143</v>
      </c>
      <c r="D1957" s="12"/>
      <c r="E1957" s="12"/>
      <c r="F1957" s="31" t="str">
        <f>HYPERLINK("https://www.familysearch.org/search/catalog/2822369","FamilySearch.org")</f>
        <v>FamilySearch.org</v>
      </c>
      <c r="G1957" s="12"/>
      <c r="H1957" s="8">
        <v>36</v>
      </c>
      <c r="I1957" s="14" t="s">
        <v>11</v>
      </c>
    </row>
    <row r="1958" spans="1:9" ht="31.2">
      <c r="A1958" s="29">
        <v>4482948</v>
      </c>
      <c r="B1958" s="8" t="s">
        <v>249</v>
      </c>
      <c r="C1958" s="16" t="s">
        <v>3144</v>
      </c>
      <c r="D1958" s="12"/>
      <c r="E1958" s="26" t="s">
        <v>14</v>
      </c>
      <c r="F1958" s="12"/>
      <c r="G1958" s="12"/>
      <c r="H1958" s="33">
        <v>21</v>
      </c>
      <c r="I1958" s="14" t="s">
        <v>15</v>
      </c>
    </row>
    <row r="1959" spans="1:9" ht="31.2">
      <c r="A1959" s="8">
        <v>4483016</v>
      </c>
      <c r="B1959" s="8" t="s">
        <v>249</v>
      </c>
      <c r="C1959" s="34" t="s">
        <v>3145</v>
      </c>
      <c r="D1959" s="12"/>
      <c r="E1959" s="12"/>
      <c r="F1959" s="31" t="str">
        <f>HYPERLINK("https://www.familysearch.org/search/catalog/2832494","FamilySearch.org")</f>
        <v>FamilySearch.org</v>
      </c>
      <c r="G1959" s="12"/>
      <c r="H1959" s="8">
        <v>36</v>
      </c>
      <c r="I1959" s="7" t="s">
        <v>11</v>
      </c>
    </row>
    <row r="1960" spans="1:9" ht="31.2">
      <c r="A1960" s="8">
        <v>4486504</v>
      </c>
      <c r="B1960" s="8" t="s">
        <v>249</v>
      </c>
      <c r="C1960" s="35" t="s">
        <v>3146</v>
      </c>
      <c r="D1960" s="12"/>
      <c r="E1960" s="12"/>
      <c r="F1960" s="31" t="str">
        <f t="shared" ref="F1960:F1961" si="78">HYPERLINK("https://www.familysearch.org/search/catalog/2179222","FamilySearch.org")</f>
        <v>FamilySearch.org</v>
      </c>
      <c r="G1960" s="12"/>
      <c r="H1960" s="8">
        <v>21</v>
      </c>
      <c r="I1960" s="15" t="s">
        <v>11</v>
      </c>
    </row>
    <row r="1961" spans="1:9" ht="46.8">
      <c r="A1961" s="8">
        <v>4486683</v>
      </c>
      <c r="B1961" s="8" t="s">
        <v>249</v>
      </c>
      <c r="C1961" s="54" t="s">
        <v>3147</v>
      </c>
      <c r="D1961" s="12"/>
      <c r="E1961" s="12"/>
      <c r="F1961" s="31" t="str">
        <f t="shared" si="78"/>
        <v>FamilySearch.org</v>
      </c>
      <c r="G1961" s="12"/>
      <c r="H1961" s="8">
        <v>21</v>
      </c>
      <c r="I1961" s="15" t="s">
        <v>18</v>
      </c>
    </row>
    <row r="1962" spans="1:9" ht="15.6">
      <c r="A1962" s="8">
        <v>4486924</v>
      </c>
      <c r="B1962" s="8" t="s">
        <v>249</v>
      </c>
      <c r="C1962" s="34" t="s">
        <v>3148</v>
      </c>
      <c r="D1962" s="12"/>
      <c r="E1962" s="12"/>
      <c r="F1962" s="31" t="str">
        <f>HYPERLINK("https://www.familysearch.org/search/catalog/2299685","FamilySearch.org")</f>
        <v>FamilySearch.org</v>
      </c>
      <c r="G1962" s="12"/>
      <c r="H1962" s="8">
        <v>36</v>
      </c>
      <c r="I1962" s="7" t="s">
        <v>11</v>
      </c>
    </row>
    <row r="1963" spans="1:9" ht="31.2">
      <c r="A1963" s="8">
        <v>4486976</v>
      </c>
      <c r="B1963" s="8" t="s">
        <v>249</v>
      </c>
      <c r="C1963" s="34" t="s">
        <v>3149</v>
      </c>
      <c r="D1963" s="12"/>
      <c r="E1963" s="12"/>
      <c r="F1963" s="31" t="str">
        <f>HYPERLINK("https://www.familysearch.org/search/catalog/2840825","FamilySearch.org")</f>
        <v>FamilySearch.org</v>
      </c>
      <c r="G1963" s="12"/>
      <c r="H1963" s="8">
        <v>26</v>
      </c>
      <c r="I1963" s="7" t="s">
        <v>11</v>
      </c>
    </row>
    <row r="1964" spans="1:9" ht="31.2">
      <c r="A1964" s="8">
        <v>4488656</v>
      </c>
      <c r="B1964" s="8" t="s">
        <v>249</v>
      </c>
      <c r="C1964" s="34" t="s">
        <v>3150</v>
      </c>
      <c r="D1964" s="12"/>
      <c r="E1964" s="12"/>
      <c r="F1964" s="31" t="str">
        <f>HYPERLINK("https://www.familysearch.org/search/catalog/2299685?availability=Family%20History%20Library","FamilySearch.org")</f>
        <v>FamilySearch.org</v>
      </c>
      <c r="G1964" s="12"/>
      <c r="H1964" s="8">
        <v>26</v>
      </c>
      <c r="I1964" s="7" t="s">
        <v>11</v>
      </c>
    </row>
    <row r="1965" spans="1:9" ht="31.2">
      <c r="A1965" s="8">
        <v>4488749</v>
      </c>
      <c r="B1965" s="8" t="s">
        <v>249</v>
      </c>
      <c r="C1965" s="34" t="s">
        <v>3151</v>
      </c>
      <c r="D1965" s="12"/>
      <c r="E1965" s="12"/>
      <c r="F1965" s="31" t="str">
        <f>HYPERLINK("https://www.familysearch.org/search/catalog/2299595","FamilySearch.org")</f>
        <v>FamilySearch.org</v>
      </c>
      <c r="G1965" s="12"/>
      <c r="H1965" s="8">
        <v>36</v>
      </c>
      <c r="I1965" s="7" t="s">
        <v>11</v>
      </c>
    </row>
    <row r="1966" spans="1:9" ht="46.8">
      <c r="A1966" s="29">
        <v>4488767</v>
      </c>
      <c r="B1966" s="8" t="s">
        <v>249</v>
      </c>
      <c r="C1966" s="35" t="s">
        <v>3152</v>
      </c>
      <c r="D1966" s="12"/>
      <c r="E1966" s="26" t="s">
        <v>14</v>
      </c>
      <c r="F1966" s="12"/>
      <c r="G1966" s="12"/>
      <c r="H1966" s="33">
        <v>21</v>
      </c>
      <c r="I1966" s="14" t="s">
        <v>11</v>
      </c>
    </row>
    <row r="1967" spans="1:9" ht="46.8">
      <c r="A1967" s="8">
        <v>4492374</v>
      </c>
      <c r="B1967" s="8" t="s">
        <v>249</v>
      </c>
      <c r="C1967" s="34" t="s">
        <v>3153</v>
      </c>
      <c r="D1967" s="12"/>
      <c r="E1967" s="12"/>
      <c r="F1967" s="31" t="str">
        <f>HYPERLINK("https://www.familysearch.org/search/catalog/2840826","FamilySearch.org")</f>
        <v>FamilySearch.org</v>
      </c>
      <c r="G1967" s="12"/>
      <c r="H1967" s="8">
        <v>36</v>
      </c>
      <c r="I1967" s="7" t="s">
        <v>2628</v>
      </c>
    </row>
    <row r="1968" spans="1:9" ht="31.2">
      <c r="A1968" s="8">
        <v>4492458</v>
      </c>
      <c r="B1968" s="8" t="s">
        <v>249</v>
      </c>
      <c r="C1968" s="34" t="s">
        <v>3154</v>
      </c>
      <c r="D1968" s="12"/>
      <c r="E1968" s="12"/>
      <c r="F1968" s="31" t="str">
        <f>HYPERLINK("https://www.familysearch.org/search/catalog/2829741","FamilySearch.org")</f>
        <v>FamilySearch.org</v>
      </c>
      <c r="G1968" s="12"/>
      <c r="H1968" s="8">
        <v>36</v>
      </c>
      <c r="I1968" s="7" t="s">
        <v>11</v>
      </c>
    </row>
    <row r="1969" spans="1:9" ht="31.2">
      <c r="A1969" s="8">
        <v>4492461</v>
      </c>
      <c r="B1969" s="8" t="s">
        <v>249</v>
      </c>
      <c r="C1969" s="34" t="s">
        <v>3155</v>
      </c>
      <c r="D1969" s="12"/>
      <c r="E1969" s="12"/>
      <c r="F1969" s="31" t="str">
        <f>HYPERLINK("https://www.familysearch.org/search/catalog/2840826","FamilySearch.org")</f>
        <v>FamilySearch.org</v>
      </c>
      <c r="G1969" s="12"/>
      <c r="H1969" s="8">
        <v>36</v>
      </c>
      <c r="I1969" s="7" t="s">
        <v>11</v>
      </c>
    </row>
    <row r="1970" spans="1:9" ht="31.2">
      <c r="A1970" s="8">
        <v>4492683</v>
      </c>
      <c r="B1970" s="8" t="s">
        <v>249</v>
      </c>
      <c r="C1970" s="54" t="s">
        <v>3156</v>
      </c>
      <c r="D1970" s="12"/>
      <c r="E1970" s="12"/>
      <c r="F1970" s="31" t="str">
        <f>HYPERLINK("https://www.familysearch.org/search/catalog/2831089","FamilySearch.org")</f>
        <v>FamilySearch.org</v>
      </c>
      <c r="G1970" s="12"/>
      <c r="H1970" s="8">
        <v>36</v>
      </c>
      <c r="I1970" s="15" t="s">
        <v>11</v>
      </c>
    </row>
    <row r="1971" spans="1:9" ht="31.2">
      <c r="A1971" s="8">
        <v>4497876</v>
      </c>
      <c r="B1971" s="8" t="s">
        <v>249</v>
      </c>
      <c r="C1971" s="37" t="s">
        <v>3157</v>
      </c>
      <c r="D1971" s="12"/>
      <c r="E1971" s="12"/>
      <c r="F1971" s="26" t="s">
        <v>43</v>
      </c>
      <c r="G1971" s="12"/>
      <c r="H1971" s="8">
        <v>21</v>
      </c>
      <c r="I1971" s="7" t="s">
        <v>15</v>
      </c>
    </row>
    <row r="1972" spans="1:9" ht="31.2">
      <c r="A1972" s="8">
        <v>4497877</v>
      </c>
      <c r="B1972" s="8" t="s">
        <v>249</v>
      </c>
      <c r="C1972" s="37" t="s">
        <v>3158</v>
      </c>
      <c r="D1972" s="12"/>
      <c r="E1972" s="12"/>
      <c r="F1972" s="26" t="s">
        <v>43</v>
      </c>
      <c r="G1972" s="12"/>
      <c r="H1972" s="8">
        <v>21</v>
      </c>
      <c r="I1972" s="7" t="s">
        <v>15</v>
      </c>
    </row>
    <row r="1973" spans="1:9" ht="31.2">
      <c r="A1973" s="8">
        <v>4497878</v>
      </c>
      <c r="B1973" s="8" t="s">
        <v>249</v>
      </c>
      <c r="C1973" s="37" t="s">
        <v>3159</v>
      </c>
      <c r="D1973" s="12"/>
      <c r="E1973" s="12"/>
      <c r="F1973" s="26" t="s">
        <v>43</v>
      </c>
      <c r="G1973" s="12"/>
      <c r="H1973" s="8">
        <v>21</v>
      </c>
      <c r="I1973" s="7" t="s">
        <v>15</v>
      </c>
    </row>
    <row r="1974" spans="1:9" ht="31.2">
      <c r="A1974" s="8">
        <v>4499104</v>
      </c>
      <c r="B1974" s="8" t="s">
        <v>249</v>
      </c>
      <c r="C1974" s="37" t="s">
        <v>3160</v>
      </c>
      <c r="D1974" s="12"/>
      <c r="E1974" s="12"/>
      <c r="F1974" s="26" t="s">
        <v>43</v>
      </c>
      <c r="G1974" s="12"/>
      <c r="H1974" s="8">
        <v>21</v>
      </c>
      <c r="I1974" s="7" t="s">
        <v>15</v>
      </c>
    </row>
    <row r="1975" spans="1:9" ht="46.8">
      <c r="A1975" s="29">
        <v>4499426</v>
      </c>
      <c r="B1975" s="8" t="s">
        <v>249</v>
      </c>
      <c r="C1975" s="35" t="s">
        <v>3161</v>
      </c>
      <c r="D1975" s="12"/>
      <c r="E1975" s="26" t="s">
        <v>14</v>
      </c>
      <c r="F1975" s="12"/>
      <c r="G1975" s="12"/>
      <c r="H1975" s="33">
        <v>21</v>
      </c>
      <c r="I1975" s="14" t="s">
        <v>11</v>
      </c>
    </row>
    <row r="1976" spans="1:9" ht="46.8">
      <c r="A1976" s="29">
        <v>4499444</v>
      </c>
      <c r="B1976" s="8" t="s">
        <v>249</v>
      </c>
      <c r="C1976" s="35" t="s">
        <v>3162</v>
      </c>
      <c r="D1976" s="12"/>
      <c r="E1976" s="26" t="s">
        <v>14</v>
      </c>
      <c r="F1976" s="12"/>
      <c r="G1976" s="12"/>
      <c r="H1976" s="33">
        <v>21</v>
      </c>
      <c r="I1976" s="14" t="s">
        <v>11</v>
      </c>
    </row>
    <row r="1977" spans="1:9" ht="46.8">
      <c r="A1977" s="29">
        <v>4499451</v>
      </c>
      <c r="B1977" s="8" t="s">
        <v>249</v>
      </c>
      <c r="C1977" s="35" t="s">
        <v>3163</v>
      </c>
      <c r="D1977" s="12"/>
      <c r="E1977" s="26" t="s">
        <v>14</v>
      </c>
      <c r="F1977" s="12"/>
      <c r="G1977" s="12"/>
      <c r="H1977" s="33">
        <v>21</v>
      </c>
      <c r="I1977" s="14" t="s">
        <v>11</v>
      </c>
    </row>
    <row r="1978" spans="1:9" ht="31.2">
      <c r="A1978" s="29">
        <v>4499462</v>
      </c>
      <c r="B1978" s="8" t="s">
        <v>249</v>
      </c>
      <c r="C1978" s="35" t="s">
        <v>3164</v>
      </c>
      <c r="D1978" s="12"/>
      <c r="E1978" s="26" t="s">
        <v>14</v>
      </c>
      <c r="F1978" s="12"/>
      <c r="G1978" s="12"/>
      <c r="H1978" s="33">
        <v>21</v>
      </c>
      <c r="I1978" s="14" t="s">
        <v>11</v>
      </c>
    </row>
    <row r="1979" spans="1:9" ht="46.8">
      <c r="A1979" s="29">
        <v>4499466</v>
      </c>
      <c r="B1979" s="8" t="s">
        <v>249</v>
      </c>
      <c r="C1979" s="35" t="s">
        <v>3165</v>
      </c>
      <c r="D1979" s="12"/>
      <c r="E1979" s="26" t="s">
        <v>14</v>
      </c>
      <c r="F1979" s="12"/>
      <c r="G1979" s="12"/>
      <c r="H1979" s="33">
        <v>21</v>
      </c>
      <c r="I1979" s="14" t="s">
        <v>11</v>
      </c>
    </row>
    <row r="1980" spans="1:9" ht="46.8">
      <c r="A1980" s="29">
        <v>4499493</v>
      </c>
      <c r="B1980" s="8" t="s">
        <v>249</v>
      </c>
      <c r="C1980" s="35" t="s">
        <v>3166</v>
      </c>
      <c r="D1980" s="12"/>
      <c r="E1980" s="26" t="s">
        <v>14</v>
      </c>
      <c r="F1980" s="12"/>
      <c r="G1980" s="12"/>
      <c r="H1980" s="33">
        <v>21</v>
      </c>
      <c r="I1980" s="14" t="s">
        <v>11</v>
      </c>
    </row>
    <row r="1981" spans="1:9" ht="46.8">
      <c r="A1981" s="29">
        <v>4499501</v>
      </c>
      <c r="B1981" s="8" t="s">
        <v>249</v>
      </c>
      <c r="C1981" s="35" t="s">
        <v>3167</v>
      </c>
      <c r="D1981" s="12"/>
      <c r="E1981" s="26" t="s">
        <v>14</v>
      </c>
      <c r="F1981" s="12"/>
      <c r="G1981" s="12"/>
      <c r="H1981" s="33">
        <v>21</v>
      </c>
      <c r="I1981" s="14" t="s">
        <v>11</v>
      </c>
    </row>
    <row r="1982" spans="1:9" ht="46.8">
      <c r="A1982" s="29">
        <v>4499506</v>
      </c>
      <c r="B1982" s="8" t="s">
        <v>249</v>
      </c>
      <c r="C1982" s="35" t="s">
        <v>3168</v>
      </c>
      <c r="D1982" s="12"/>
      <c r="E1982" s="26" t="s">
        <v>14</v>
      </c>
      <c r="F1982" s="12"/>
      <c r="G1982" s="12"/>
      <c r="H1982" s="33">
        <v>21</v>
      </c>
      <c r="I1982" s="14" t="s">
        <v>11</v>
      </c>
    </row>
    <row r="1983" spans="1:9" ht="31.2">
      <c r="A1983" s="8">
        <v>4499602</v>
      </c>
      <c r="B1983" s="8" t="s">
        <v>249</v>
      </c>
      <c r="C1983" s="37" t="s">
        <v>3169</v>
      </c>
      <c r="D1983" s="12"/>
      <c r="E1983" s="12"/>
      <c r="F1983" s="26" t="s">
        <v>43</v>
      </c>
      <c r="G1983" s="12"/>
      <c r="H1983" s="8">
        <v>21</v>
      </c>
      <c r="I1983" s="7" t="s">
        <v>15</v>
      </c>
    </row>
    <row r="1984" spans="1:9" ht="46.8">
      <c r="A1984" s="29">
        <v>4499614</v>
      </c>
      <c r="B1984" s="8" t="s">
        <v>249</v>
      </c>
      <c r="C1984" s="16" t="s">
        <v>3170</v>
      </c>
      <c r="D1984" s="12"/>
      <c r="E1984" s="26" t="s">
        <v>14</v>
      </c>
      <c r="F1984" s="12"/>
      <c r="G1984" s="12"/>
      <c r="H1984" s="33">
        <v>21</v>
      </c>
      <c r="I1984" s="14" t="s">
        <v>15</v>
      </c>
    </row>
    <row r="1985" spans="1:9" ht="31.2">
      <c r="A1985" s="8">
        <v>4499659</v>
      </c>
      <c r="B1985" s="8" t="s">
        <v>249</v>
      </c>
      <c r="C1985" s="37" t="s">
        <v>3171</v>
      </c>
      <c r="D1985" s="12"/>
      <c r="E1985" s="12"/>
      <c r="F1985" s="26" t="s">
        <v>43</v>
      </c>
      <c r="G1985" s="12"/>
      <c r="H1985" s="8">
        <v>21</v>
      </c>
      <c r="I1985" s="7" t="s">
        <v>15</v>
      </c>
    </row>
    <row r="1986" spans="1:9" ht="31.2">
      <c r="A1986" s="8">
        <v>4499826</v>
      </c>
      <c r="B1986" s="8" t="s">
        <v>249</v>
      </c>
      <c r="C1986" s="37" t="s">
        <v>3172</v>
      </c>
      <c r="D1986" s="12"/>
      <c r="E1986" s="12"/>
      <c r="F1986" s="26" t="s">
        <v>43</v>
      </c>
      <c r="G1986" s="12"/>
      <c r="H1986" s="8">
        <v>21</v>
      </c>
      <c r="I1986" s="7" t="s">
        <v>15</v>
      </c>
    </row>
    <row r="1987" spans="1:9" ht="46.8">
      <c r="A1987" s="29">
        <v>4499828</v>
      </c>
      <c r="B1987" s="8" t="s">
        <v>249</v>
      </c>
      <c r="C1987" s="16" t="s">
        <v>3173</v>
      </c>
      <c r="D1987" s="12"/>
      <c r="E1987" s="26" t="s">
        <v>14</v>
      </c>
      <c r="F1987" s="12"/>
      <c r="G1987" s="12"/>
      <c r="H1987" s="33">
        <v>21</v>
      </c>
      <c r="I1987" s="14" t="s">
        <v>15</v>
      </c>
    </row>
    <row r="1988" spans="1:9" ht="46.8">
      <c r="A1988" s="29">
        <v>4499830</v>
      </c>
      <c r="B1988" s="8" t="s">
        <v>249</v>
      </c>
      <c r="C1988" s="16" t="s">
        <v>3174</v>
      </c>
      <c r="D1988" s="12"/>
      <c r="E1988" s="26" t="s">
        <v>14</v>
      </c>
      <c r="F1988" s="12"/>
      <c r="G1988" s="12"/>
      <c r="H1988" s="33">
        <v>21</v>
      </c>
      <c r="I1988" s="14" t="s">
        <v>15</v>
      </c>
    </row>
    <row r="1989" spans="1:9" ht="46.8">
      <c r="A1989" s="29">
        <v>4500188</v>
      </c>
      <c r="B1989" s="8" t="s">
        <v>249</v>
      </c>
      <c r="C1989" s="16" t="s">
        <v>3175</v>
      </c>
      <c r="D1989" s="12"/>
      <c r="E1989" s="26" t="s">
        <v>14</v>
      </c>
      <c r="F1989" s="12"/>
      <c r="G1989" s="12"/>
      <c r="H1989" s="33">
        <v>21</v>
      </c>
      <c r="I1989" s="14" t="s">
        <v>15</v>
      </c>
    </row>
    <row r="1990" spans="1:9" ht="46.8">
      <c r="A1990" s="29">
        <v>4503228</v>
      </c>
      <c r="B1990" s="8" t="s">
        <v>249</v>
      </c>
      <c r="C1990" s="35" t="s">
        <v>3176</v>
      </c>
      <c r="D1990" s="12"/>
      <c r="E1990" s="26" t="s">
        <v>14</v>
      </c>
      <c r="F1990" s="12"/>
      <c r="G1990" s="12"/>
      <c r="H1990" s="33">
        <v>21</v>
      </c>
      <c r="I1990" s="14" t="s">
        <v>11</v>
      </c>
    </row>
    <row r="1991" spans="1:9" ht="46.8">
      <c r="A1991" s="29">
        <v>4503230</v>
      </c>
      <c r="B1991" s="8" t="s">
        <v>249</v>
      </c>
      <c r="C1991" s="16" t="s">
        <v>3177</v>
      </c>
      <c r="D1991" s="12"/>
      <c r="E1991" s="26" t="s">
        <v>14</v>
      </c>
      <c r="F1991" s="12"/>
      <c r="G1991" s="12"/>
      <c r="H1991" s="33">
        <v>21</v>
      </c>
      <c r="I1991" s="14" t="s">
        <v>15</v>
      </c>
    </row>
    <row r="1992" spans="1:9" ht="46.8">
      <c r="A1992" s="29">
        <v>4503231</v>
      </c>
      <c r="B1992" s="8" t="s">
        <v>249</v>
      </c>
      <c r="C1992" s="16" t="s">
        <v>3178</v>
      </c>
      <c r="D1992" s="12"/>
      <c r="E1992" s="26" t="s">
        <v>14</v>
      </c>
      <c r="F1992" s="12"/>
      <c r="G1992" s="12"/>
      <c r="H1992" s="33">
        <v>21</v>
      </c>
      <c r="I1992" s="14" t="s">
        <v>15</v>
      </c>
    </row>
    <row r="1993" spans="1:9" ht="46.8">
      <c r="A1993" s="29">
        <v>4503232</v>
      </c>
      <c r="B1993" s="8" t="s">
        <v>249</v>
      </c>
      <c r="C1993" s="16" t="s">
        <v>3179</v>
      </c>
      <c r="D1993" s="12"/>
      <c r="E1993" s="26" t="s">
        <v>14</v>
      </c>
      <c r="F1993" s="12"/>
      <c r="G1993" s="12"/>
      <c r="H1993" s="33">
        <v>21</v>
      </c>
      <c r="I1993" s="14" t="s">
        <v>15</v>
      </c>
    </row>
    <row r="1994" spans="1:9" ht="62.4">
      <c r="A1994" s="29">
        <v>4503236</v>
      </c>
      <c r="B1994" s="8" t="s">
        <v>249</v>
      </c>
      <c r="C1994" s="35" t="s">
        <v>3180</v>
      </c>
      <c r="D1994" s="12"/>
      <c r="E1994" s="26" t="s">
        <v>14</v>
      </c>
      <c r="F1994" s="12"/>
      <c r="G1994" s="12"/>
      <c r="H1994" s="33">
        <v>21</v>
      </c>
      <c r="I1994" s="14" t="s">
        <v>11</v>
      </c>
    </row>
    <row r="1995" spans="1:9" ht="46.8">
      <c r="A1995" s="29">
        <v>4504784</v>
      </c>
      <c r="B1995" s="8" t="s">
        <v>249</v>
      </c>
      <c r="C1995" s="16" t="s">
        <v>3181</v>
      </c>
      <c r="D1995" s="12"/>
      <c r="E1995" s="26" t="s">
        <v>14</v>
      </c>
      <c r="F1995" s="12"/>
      <c r="G1995" s="12"/>
      <c r="H1995" s="33">
        <v>21</v>
      </c>
      <c r="I1995" s="14" t="s">
        <v>15</v>
      </c>
    </row>
    <row r="1996" spans="1:9" ht="46.8">
      <c r="A1996" s="29">
        <v>4504787</v>
      </c>
      <c r="B1996" s="8" t="s">
        <v>249</v>
      </c>
      <c r="C1996" s="16" t="s">
        <v>3182</v>
      </c>
      <c r="D1996" s="12"/>
      <c r="E1996" s="26" t="s">
        <v>14</v>
      </c>
      <c r="F1996" s="12"/>
      <c r="G1996" s="12"/>
      <c r="H1996" s="33">
        <v>21</v>
      </c>
      <c r="I1996" s="14" t="s">
        <v>15</v>
      </c>
    </row>
    <row r="1997" spans="1:9" ht="31.2">
      <c r="A1997" s="29">
        <v>4504789</v>
      </c>
      <c r="B1997" s="8" t="s">
        <v>249</v>
      </c>
      <c r="C1997" s="16" t="s">
        <v>3183</v>
      </c>
      <c r="D1997" s="12"/>
      <c r="E1997" s="26" t="s">
        <v>14</v>
      </c>
      <c r="F1997" s="12"/>
      <c r="G1997" s="12"/>
      <c r="H1997" s="33">
        <v>21</v>
      </c>
      <c r="I1997" s="14" t="s">
        <v>15</v>
      </c>
    </row>
    <row r="1998" spans="1:9" ht="31.2">
      <c r="A1998" s="8">
        <v>4504940</v>
      </c>
      <c r="B1998" s="8" t="s">
        <v>249</v>
      </c>
      <c r="C1998" s="54" t="str">
        <f>HYPERLINK("https://catalog.archives.gov/search?q=*:*&amp;f.ancestorNaIds=4504940&amp;sort=naIdSort%20asc","Record Books of Testimony of Witnesses, 3/24/1876 - 6/4/1903")</f>
        <v>Record Books of Testimony of Witnesses, 3/24/1876 - 6/4/1903</v>
      </c>
      <c r="D1998" s="12"/>
      <c r="E1998" s="12"/>
      <c r="F1998" s="31" t="str">
        <f>HYPERLINK("https://www.familysearch.org/search/catalog/570107","FamilySearch.org")</f>
        <v>FamilySearch.org</v>
      </c>
      <c r="G1998" s="12"/>
      <c r="H1998" s="8" t="s">
        <v>3058</v>
      </c>
      <c r="I1998" s="15" t="s">
        <v>11</v>
      </c>
    </row>
    <row r="1999" spans="1:9" ht="31.2">
      <c r="A1999" s="29">
        <v>4504983</v>
      </c>
      <c r="B1999" s="8" t="s">
        <v>249</v>
      </c>
      <c r="C1999" s="16" t="s">
        <v>3184</v>
      </c>
      <c r="D1999" s="32" t="str">
        <f>HYPERLINK("https://www.fold3.com/title/765/wwii-old-mans-draft-registration-cards","Fold3.com")</f>
        <v>Fold3.com</v>
      </c>
      <c r="E1999" s="26" t="s">
        <v>14</v>
      </c>
      <c r="F1999" s="12"/>
      <c r="G1999" s="12"/>
      <c r="H1999" s="33">
        <v>147</v>
      </c>
      <c r="I1999" s="14" t="s">
        <v>15</v>
      </c>
    </row>
    <row r="2000" spans="1:9" ht="31.2">
      <c r="A2000" s="29">
        <v>4509531</v>
      </c>
      <c r="B2000" s="8" t="s">
        <v>249</v>
      </c>
      <c r="C2000" s="16" t="s">
        <v>3185</v>
      </c>
      <c r="D2000" s="12"/>
      <c r="E2000" s="92" t="s">
        <v>14</v>
      </c>
      <c r="F2000" s="12"/>
      <c r="G2000" s="12"/>
      <c r="H2000" s="33">
        <v>21</v>
      </c>
      <c r="I2000" s="14" t="s">
        <v>15</v>
      </c>
    </row>
    <row r="2001" spans="1:9" ht="46.8">
      <c r="A2001" s="29">
        <v>4509539</v>
      </c>
      <c r="B2001" s="8" t="s">
        <v>249</v>
      </c>
      <c r="C2001" s="16" t="s">
        <v>3186</v>
      </c>
      <c r="D2001" s="12"/>
      <c r="E2001" s="26" t="s">
        <v>14</v>
      </c>
      <c r="F2001" s="12"/>
      <c r="G2001" s="12"/>
      <c r="H2001" s="33">
        <v>21</v>
      </c>
      <c r="I2001" s="14" t="s">
        <v>15</v>
      </c>
    </row>
    <row r="2002" spans="1:9" ht="46.8">
      <c r="A2002" s="29">
        <v>4509763</v>
      </c>
      <c r="B2002" s="8" t="s">
        <v>249</v>
      </c>
      <c r="C2002" s="16" t="s">
        <v>3187</v>
      </c>
      <c r="D2002" s="12"/>
      <c r="E2002" s="26" t="s">
        <v>14</v>
      </c>
      <c r="F2002" s="12"/>
      <c r="G2002" s="12"/>
      <c r="H2002" s="33">
        <v>21</v>
      </c>
      <c r="I2002" s="14" t="s">
        <v>15</v>
      </c>
    </row>
    <row r="2003" spans="1:9" ht="31.2">
      <c r="A2003" s="8">
        <v>4509767</v>
      </c>
      <c r="B2003" s="8" t="s">
        <v>249</v>
      </c>
      <c r="C2003" s="37" t="s">
        <v>3188</v>
      </c>
      <c r="D2003" s="12"/>
      <c r="E2003" s="12"/>
      <c r="F2003" s="31" t="str">
        <f>HYPERLINK("https://www.familysearch.org/search/catalog/2831089","FamilySearch.org")</f>
        <v>FamilySearch.org</v>
      </c>
      <c r="G2003" s="12"/>
      <c r="H2003" s="8">
        <v>36</v>
      </c>
      <c r="I2003" s="7" t="s">
        <v>15</v>
      </c>
    </row>
    <row r="2004" spans="1:9" ht="46.8">
      <c r="A2004" s="29">
        <v>4509768</v>
      </c>
      <c r="B2004" s="8" t="s">
        <v>249</v>
      </c>
      <c r="C2004" s="16" t="s">
        <v>3189</v>
      </c>
      <c r="D2004" s="12"/>
      <c r="E2004" s="26" t="s">
        <v>14</v>
      </c>
      <c r="F2004" s="12"/>
      <c r="G2004" s="12"/>
      <c r="H2004" s="33">
        <v>21</v>
      </c>
      <c r="I2004" s="14" t="s">
        <v>15</v>
      </c>
    </row>
    <row r="2005" spans="1:9" ht="31.2">
      <c r="A2005" s="8">
        <v>4509770</v>
      </c>
      <c r="B2005" s="8" t="s">
        <v>249</v>
      </c>
      <c r="C2005" s="54" t="s">
        <v>3190</v>
      </c>
      <c r="D2005" s="12"/>
      <c r="E2005" s="12"/>
      <c r="F2005" s="31" t="str">
        <f>HYPERLINK("https://www.familysearch.org/search/catalog/2831089","FamilySearch.org")</f>
        <v>FamilySearch.org</v>
      </c>
      <c r="G2005" s="12"/>
      <c r="H2005" s="8">
        <v>36</v>
      </c>
      <c r="I2005" s="15" t="s">
        <v>11</v>
      </c>
    </row>
    <row r="2006" spans="1:9" ht="31.2">
      <c r="A2006" s="29">
        <v>4509772</v>
      </c>
      <c r="B2006" s="8" t="s">
        <v>249</v>
      </c>
      <c r="C2006" s="16" t="s">
        <v>3191</v>
      </c>
      <c r="D2006" s="12"/>
      <c r="E2006" s="26" t="s">
        <v>14</v>
      </c>
      <c r="F2006" s="12"/>
      <c r="G2006" s="12"/>
      <c r="H2006" s="33">
        <v>21</v>
      </c>
      <c r="I2006" s="14" t="s">
        <v>15</v>
      </c>
    </row>
    <row r="2007" spans="1:9" ht="46.8">
      <c r="A2007" s="29">
        <v>4509776</v>
      </c>
      <c r="B2007" s="8" t="s">
        <v>249</v>
      </c>
      <c r="C2007" s="16" t="s">
        <v>3192</v>
      </c>
      <c r="D2007" s="12"/>
      <c r="E2007" s="26" t="s">
        <v>14</v>
      </c>
      <c r="F2007" s="12"/>
      <c r="G2007" s="12"/>
      <c r="H2007" s="33">
        <v>21</v>
      </c>
      <c r="I2007" s="14" t="s">
        <v>15</v>
      </c>
    </row>
    <row r="2008" spans="1:9" ht="46.8">
      <c r="A2008" s="8">
        <v>4509777</v>
      </c>
      <c r="B2008" s="8" t="s">
        <v>249</v>
      </c>
      <c r="C2008" s="37" t="s">
        <v>3193</v>
      </c>
      <c r="D2008" s="12"/>
      <c r="E2008" s="12"/>
      <c r="F2008" s="31" t="str">
        <f>HYPERLINK("https://www.familysearch.org/search/catalog/2831089","FamilySearch.org")</f>
        <v>FamilySearch.org</v>
      </c>
      <c r="G2008" s="12"/>
      <c r="H2008" s="8">
        <v>36</v>
      </c>
      <c r="I2008" s="7" t="s">
        <v>15</v>
      </c>
    </row>
    <row r="2009" spans="1:9" ht="31.2">
      <c r="A2009" s="29">
        <v>4509780</v>
      </c>
      <c r="B2009" s="8" t="s">
        <v>249</v>
      </c>
      <c r="C2009" s="16" t="s">
        <v>3194</v>
      </c>
      <c r="D2009" s="12"/>
      <c r="E2009" s="12"/>
      <c r="F2009" s="32" t="s">
        <v>43</v>
      </c>
      <c r="G2009" s="12"/>
      <c r="H2009" s="33">
        <v>21</v>
      </c>
      <c r="I2009" s="14" t="s">
        <v>15</v>
      </c>
    </row>
    <row r="2010" spans="1:9" ht="31.2">
      <c r="A2010" s="8">
        <v>4513397</v>
      </c>
      <c r="B2010" s="8" t="s">
        <v>249</v>
      </c>
      <c r="C2010" s="37" t="s">
        <v>3195</v>
      </c>
      <c r="D2010" s="12"/>
      <c r="E2010" s="12"/>
      <c r="F2010" s="31" t="str">
        <f>HYPERLINK("https://www.familysearch.org/search/catalog/570107","FamilySearch.org")</f>
        <v>FamilySearch.org</v>
      </c>
      <c r="G2010" s="12"/>
      <c r="H2010" s="8" t="s">
        <v>3058</v>
      </c>
      <c r="I2010" s="7" t="s">
        <v>15</v>
      </c>
    </row>
    <row r="2011" spans="1:9" ht="46.8">
      <c r="A2011" s="8">
        <v>4513403</v>
      </c>
      <c r="B2011" s="8" t="s">
        <v>249</v>
      </c>
      <c r="C2011" s="54" t="str">
        <f>HYPERLINK("https://catalog.archives.gov/search?q=*:*&amp;f.ancestorNaIds=4513403&amp;sort=naIdSort%20asc","Registers of Declarations of Intention Filed, Connecticut (Superior Court, Hartford County), 1853-1906")</f>
        <v>Registers of Declarations of Intention Filed, Connecticut (Superior Court, Hartford County), 1853-1906</v>
      </c>
      <c r="D2011" s="12"/>
      <c r="E2011" s="12"/>
      <c r="F2011" s="31" t="str">
        <f>HYPERLINK("https://www.familysearch.org/search/catalog/570098","FamilySearch.org")</f>
        <v>FamilySearch.org</v>
      </c>
      <c r="G2011" s="12"/>
      <c r="H2011" s="8" t="s">
        <v>3058</v>
      </c>
      <c r="I2011" s="15" t="s">
        <v>11</v>
      </c>
    </row>
    <row r="2012" spans="1:9" ht="46.8">
      <c r="A2012" s="29">
        <v>4513417</v>
      </c>
      <c r="B2012" s="8" t="s">
        <v>249</v>
      </c>
      <c r="C2012" s="54" t="s">
        <v>3196</v>
      </c>
      <c r="D2012" s="12"/>
      <c r="E2012" s="32"/>
      <c r="F2012" s="31" t="s">
        <v>43</v>
      </c>
      <c r="G2012" s="12"/>
      <c r="H2012" s="33" t="s">
        <v>3058</v>
      </c>
      <c r="I2012" s="23" t="s">
        <v>11</v>
      </c>
    </row>
    <row r="2013" spans="1:9" ht="46.8">
      <c r="A2013" s="8">
        <v>4513454</v>
      </c>
      <c r="B2013" s="8" t="s">
        <v>249</v>
      </c>
      <c r="C2013" s="54" t="str">
        <f>HYPERLINK("https://catalog.archives.gov/search?q=*:*&amp;f.ancestorNaIds=4513454&amp;sort=naIdSort%20asc","Declarations of Intention and Petitions for Naturalizations, Connecticut (Superior Court, Hartford County), 1793-1897")</f>
        <v>Declarations of Intention and Petitions for Naturalizations, Connecticut (Superior Court, Hartford County), 1793-1897</v>
      </c>
      <c r="D2013" s="12"/>
      <c r="E2013" s="12"/>
      <c r="F2013" s="31" t="str">
        <f>HYPERLINK("https://www.familysearch.org/search/catalog/570098","FamilySearch.org")</f>
        <v>FamilySearch.org</v>
      </c>
      <c r="G2013" s="12"/>
      <c r="H2013" s="8" t="s">
        <v>3058</v>
      </c>
      <c r="I2013" s="15" t="s">
        <v>11</v>
      </c>
    </row>
    <row r="2014" spans="1:9" ht="46.8">
      <c r="A2014" s="29">
        <v>4513463</v>
      </c>
      <c r="B2014" s="8" t="s">
        <v>249</v>
      </c>
      <c r="C2014" s="16" t="s">
        <v>3197</v>
      </c>
      <c r="D2014" s="12"/>
      <c r="E2014" s="26" t="s">
        <v>14</v>
      </c>
      <c r="F2014" s="12"/>
      <c r="G2014" s="12"/>
      <c r="H2014" s="33">
        <v>21</v>
      </c>
      <c r="I2014" s="14" t="s">
        <v>15</v>
      </c>
    </row>
    <row r="2015" spans="1:9" ht="46.8">
      <c r="A2015" s="29">
        <v>4513464</v>
      </c>
      <c r="B2015" s="8" t="s">
        <v>249</v>
      </c>
      <c r="C2015" s="16" t="s">
        <v>3198</v>
      </c>
      <c r="D2015" s="12"/>
      <c r="E2015" s="26" t="s">
        <v>14</v>
      </c>
      <c r="F2015" s="12"/>
      <c r="G2015" s="12"/>
      <c r="H2015" s="33">
        <v>21</v>
      </c>
      <c r="I2015" s="14" t="s">
        <v>15</v>
      </c>
    </row>
    <row r="2016" spans="1:9" ht="46.8">
      <c r="A2016" s="29">
        <v>4513465</v>
      </c>
      <c r="B2016" s="8" t="s">
        <v>249</v>
      </c>
      <c r="C2016" s="16" t="s">
        <v>3199</v>
      </c>
      <c r="D2016" s="12"/>
      <c r="E2016" s="26" t="s">
        <v>14</v>
      </c>
      <c r="F2016" s="12"/>
      <c r="G2016" s="12"/>
      <c r="H2016" s="33">
        <v>21</v>
      </c>
      <c r="I2016" s="14" t="s">
        <v>15</v>
      </c>
    </row>
    <row r="2017" spans="1:9" ht="31.2">
      <c r="A2017" s="8">
        <v>4513689</v>
      </c>
      <c r="B2017" s="8" t="s">
        <v>249</v>
      </c>
      <c r="C2017" s="54" t="str">
        <f>HYPERLINK("https://catalog.archives.gov/search?q=*:*&amp;f.ancestorNaIds=4513689&amp;sort=naIdSort%20asc","Registers of Naturalizations Filed, Connecticut (Superior Court, Hartford County), 1834-1898")</f>
        <v>Registers of Naturalizations Filed, Connecticut (Superior Court, Hartford County), 1834-1898</v>
      </c>
      <c r="D2017" s="12"/>
      <c r="E2017" s="12"/>
      <c r="F2017" s="31" t="str">
        <f t="shared" ref="F2017:F2018" si="79">HYPERLINK("https://www.familysearch.org/search/catalog/570098","FamilySearch.org")</f>
        <v>FamilySearch.org</v>
      </c>
      <c r="G2017" s="12"/>
      <c r="H2017" s="8" t="s">
        <v>3058</v>
      </c>
      <c r="I2017" s="15" t="s">
        <v>11</v>
      </c>
    </row>
    <row r="2018" spans="1:9" ht="46.8">
      <c r="A2018" s="8">
        <v>4513693</v>
      </c>
      <c r="B2018" s="8" t="s">
        <v>249</v>
      </c>
      <c r="C2018" s="54" t="str">
        <f>HYPERLINK("https://catalog.archives.gov/search?q=*:*&amp;f.ancestorNaIds=4513693&amp;sort=naIdSort%20asc","Petitions and Records of Naturalization, Connecticut (Superior Court, Hartford County), 1906-1908")</f>
        <v>Petitions and Records of Naturalization, Connecticut (Superior Court, Hartford County), 1906-1908</v>
      </c>
      <c r="D2018" s="12"/>
      <c r="E2018" s="12"/>
      <c r="F2018" s="31" t="str">
        <f t="shared" si="79"/>
        <v>FamilySearch.org</v>
      </c>
      <c r="G2018" s="12"/>
      <c r="H2018" s="8" t="s">
        <v>3058</v>
      </c>
      <c r="I2018" s="15" t="s">
        <v>11</v>
      </c>
    </row>
    <row r="2019" spans="1:9" ht="31.2">
      <c r="A2019" s="8">
        <v>4515391</v>
      </c>
      <c r="B2019" s="8" t="s">
        <v>249</v>
      </c>
      <c r="C2019" s="54" t="str">
        <f>HYPERLINK("https://catalog.archives.gov/search?q=*:*&amp;f.ancestorNaIds=4515391&amp;sort=naIdSort%20asc","Declarations of Intention, Connecticut (Superior Court, Middlesex County), 1890-1904")</f>
        <v>Declarations of Intention, Connecticut (Superior Court, Middlesex County), 1890-1904</v>
      </c>
      <c r="D2019" s="12"/>
      <c r="E2019" s="12"/>
      <c r="F2019" s="31" t="str">
        <f>HYPERLINK("https://www.familysearch.org/search/catalog/2999524","FamilySearch.org")</f>
        <v>FamilySearch.org</v>
      </c>
      <c r="G2019" s="12"/>
      <c r="H2019" s="8" t="s">
        <v>3058</v>
      </c>
      <c r="I2019" s="15" t="s">
        <v>11</v>
      </c>
    </row>
    <row r="2020" spans="1:9" ht="46.8">
      <c r="A2020" s="29">
        <v>4515401</v>
      </c>
      <c r="B2020" s="8" t="s">
        <v>249</v>
      </c>
      <c r="C2020" s="54" t="s">
        <v>3200</v>
      </c>
      <c r="D2020" s="12"/>
      <c r="E2020" s="32"/>
      <c r="F2020" s="31" t="s">
        <v>43</v>
      </c>
      <c r="G2020" s="12"/>
      <c r="H2020" s="33" t="s">
        <v>3058</v>
      </c>
      <c r="I2020" s="23" t="s">
        <v>11</v>
      </c>
    </row>
    <row r="2021" spans="1:9" ht="46.8">
      <c r="A2021" s="8">
        <v>4515407</v>
      </c>
      <c r="B2021" s="8" t="s">
        <v>249</v>
      </c>
      <c r="C2021" s="54" t="str">
        <f>HYPERLINK("https://catalog.archives.gov/search?q=*:*&amp;f.ancestorNaIds=4515407&amp;sort=naIdSort%20asc","Declarations of Intention and Petitions for Naturalization, Connecticut (Superior Court, Middlesex County), 1795-1852")</f>
        <v>Declarations of Intention and Petitions for Naturalization, Connecticut (Superior Court, Middlesex County), 1795-1852</v>
      </c>
      <c r="D2021" s="12"/>
      <c r="E2021" s="12"/>
      <c r="F2021" s="31" t="str">
        <f t="shared" ref="F2021:F2022" si="80">HYPERLINK("https://www.familysearch.org/search/catalog/2999524","FamilySearch.org")</f>
        <v>FamilySearch.org</v>
      </c>
      <c r="G2021" s="12"/>
      <c r="H2021" s="8" t="s">
        <v>3058</v>
      </c>
      <c r="I2021" s="15" t="s">
        <v>11</v>
      </c>
    </row>
    <row r="2022" spans="1:9" ht="62.4">
      <c r="A2022" s="8">
        <v>4515409</v>
      </c>
      <c r="B2022" s="8" t="s">
        <v>249</v>
      </c>
      <c r="C2022" s="54" t="str">
        <f>HYPERLINK("https://catalog.archives.gov/search?q=*:*&amp;f.ancestorNaIds=4515409&amp;sort=naIdSort%20asc","Records of Declarations of Intention and Naturalizations in Regular Court Sessions, Connecticut (Superior Court, Middlesex County), 1844-1859")</f>
        <v>Records of Declarations of Intention and Naturalizations in Regular Court Sessions, Connecticut (Superior Court, Middlesex County), 1844-1859</v>
      </c>
      <c r="D2022" s="12"/>
      <c r="E2022" s="12"/>
      <c r="F2022" s="31" t="str">
        <f t="shared" si="80"/>
        <v>FamilySearch.org</v>
      </c>
      <c r="G2022" s="12"/>
      <c r="H2022" s="8" t="s">
        <v>3058</v>
      </c>
      <c r="I2022" s="15" t="s">
        <v>11</v>
      </c>
    </row>
    <row r="2023" spans="1:9" ht="46.8">
      <c r="A2023" s="29">
        <v>4516070</v>
      </c>
      <c r="B2023" s="8" t="s">
        <v>249</v>
      </c>
      <c r="C2023" s="16" t="s">
        <v>3201</v>
      </c>
      <c r="D2023" s="12"/>
      <c r="E2023" s="26" t="s">
        <v>14</v>
      </c>
      <c r="F2023" s="12"/>
      <c r="G2023" s="12"/>
      <c r="H2023" s="33">
        <v>21</v>
      </c>
      <c r="I2023" s="14" t="s">
        <v>15</v>
      </c>
    </row>
    <row r="2024" spans="1:9" ht="31.2">
      <c r="A2024" s="29">
        <v>4516071</v>
      </c>
      <c r="B2024" s="8" t="s">
        <v>249</v>
      </c>
      <c r="C2024" s="16" t="s">
        <v>3202</v>
      </c>
      <c r="D2024" s="12"/>
      <c r="E2024" s="26" t="s">
        <v>14</v>
      </c>
      <c r="F2024" s="12"/>
      <c r="G2024" s="12"/>
      <c r="H2024" s="33">
        <v>21</v>
      </c>
      <c r="I2024" s="14" t="s">
        <v>15</v>
      </c>
    </row>
    <row r="2025" spans="1:9" ht="46.8">
      <c r="A2025" s="29">
        <v>4521038</v>
      </c>
      <c r="B2025" s="8" t="s">
        <v>249</v>
      </c>
      <c r="C2025" s="16" t="s">
        <v>3203</v>
      </c>
      <c r="D2025" s="12"/>
      <c r="E2025" s="26" t="s">
        <v>14</v>
      </c>
      <c r="F2025" s="12"/>
      <c r="G2025" s="12"/>
      <c r="H2025" s="33">
        <v>21</v>
      </c>
      <c r="I2025" s="14" t="s">
        <v>15</v>
      </c>
    </row>
    <row r="2026" spans="1:9" ht="46.8">
      <c r="A2026" s="29">
        <v>4521073</v>
      </c>
      <c r="B2026" s="8" t="s">
        <v>249</v>
      </c>
      <c r="C2026" s="16" t="s">
        <v>3204</v>
      </c>
      <c r="D2026" s="12"/>
      <c r="E2026" s="26" t="s">
        <v>14</v>
      </c>
      <c r="F2026" s="12"/>
      <c r="G2026" s="12"/>
      <c r="H2026" s="33">
        <v>21</v>
      </c>
      <c r="I2026" s="14" t="s">
        <v>15</v>
      </c>
    </row>
    <row r="2027" spans="1:9" ht="31.2">
      <c r="A2027" s="8">
        <v>4521799</v>
      </c>
      <c r="B2027" s="8" t="s">
        <v>249</v>
      </c>
      <c r="C2027" s="54" t="str">
        <f>HYPERLINK("https://catalog.archives.gov/search?q=*:*&amp;f.ancestorNaIds=4521799&amp;sort=naIdSort%20asc","Patented Native Allotment Case Files (Anchorage, Alaska), 1920-1969")</f>
        <v>Patented Native Allotment Case Files (Anchorage, Alaska), 1920-1969</v>
      </c>
      <c r="D2027" s="12"/>
      <c r="E2027" s="12"/>
      <c r="F2027" s="31" t="str">
        <f>HYPERLINK("https://familysearch.org/search/catalog/2835355","FamilySearch.org")</f>
        <v>FamilySearch.org</v>
      </c>
      <c r="G2027" s="12"/>
      <c r="H2027" s="8">
        <v>49</v>
      </c>
      <c r="I2027" s="15" t="s">
        <v>11</v>
      </c>
    </row>
    <row r="2028" spans="1:9" ht="62.4">
      <c r="A2028" s="8">
        <v>4522057</v>
      </c>
      <c r="B2028" s="8" t="s">
        <v>249</v>
      </c>
      <c r="C2028" s="54" t="str">
        <f>HYPERLINK("https://catalog.archives.gov/search?q=*:*&amp;f.ancestorNaIds=4522057&amp;sort=naIdSort%20asc","Records of Declarations of Intention and Naturalizations in Special Court Sessions, Connecticut (Superior Court, Middlesex County), 1844-1855")</f>
        <v>Records of Declarations of Intention and Naturalizations in Special Court Sessions, Connecticut (Superior Court, Middlesex County), 1844-1855</v>
      </c>
      <c r="D2028" s="12"/>
      <c r="E2028" s="12"/>
      <c r="F2028" s="31" t="str">
        <f t="shared" ref="F2028:F2031" si="81">HYPERLINK("https://www.familysearch.org/search/catalog/2999524","FamilySearch.org")</f>
        <v>FamilySearch.org</v>
      </c>
      <c r="G2028" s="12"/>
      <c r="H2028" s="8" t="s">
        <v>3058</v>
      </c>
      <c r="I2028" s="15" t="s">
        <v>11</v>
      </c>
    </row>
    <row r="2029" spans="1:9" ht="31.2">
      <c r="A2029" s="8">
        <v>4522064</v>
      </c>
      <c r="B2029" s="8" t="s">
        <v>249</v>
      </c>
      <c r="C2029" s="54" t="str">
        <f>HYPERLINK("https://catalog.archives.gov/search?q=*:*&amp;f.ancestorNaIds=4522064&amp;sort=naIdSort%20asc","Records of Naturalizations, Connecticut (Superior Court, Middlesex County), 1868-1902")</f>
        <v>Records of Naturalizations, Connecticut (Superior Court, Middlesex County), 1868-1902</v>
      </c>
      <c r="D2029" s="12"/>
      <c r="E2029" s="12"/>
      <c r="F2029" s="31" t="str">
        <f t="shared" si="81"/>
        <v>FamilySearch.org</v>
      </c>
      <c r="G2029" s="12"/>
      <c r="H2029" s="8" t="s">
        <v>3058</v>
      </c>
      <c r="I2029" s="15" t="s">
        <v>11</v>
      </c>
    </row>
    <row r="2030" spans="1:9" ht="46.8">
      <c r="A2030" s="8">
        <v>4522070</v>
      </c>
      <c r="B2030" s="8" t="s">
        <v>249</v>
      </c>
      <c r="C2030" s="54" t="str">
        <f>HYPERLINK("https://catalog.archives.gov/search?q=*:*&amp;f.ancestorNaIds=4522070&amp;sort=naIdSort%20asc","Petitions for Naturalization of Adults and Declarations of Intention, Connecticut (Superior Court, Middlesex County), 1903-1906")</f>
        <v>Petitions for Naturalization of Adults and Declarations of Intention, Connecticut (Superior Court, Middlesex County), 1903-1906</v>
      </c>
      <c r="D2030" s="12"/>
      <c r="E2030" s="12"/>
      <c r="F2030" s="31" t="str">
        <f t="shared" si="81"/>
        <v>FamilySearch.org</v>
      </c>
      <c r="G2030" s="12"/>
      <c r="H2030" s="8" t="s">
        <v>3058</v>
      </c>
      <c r="I2030" s="15" t="s">
        <v>11</v>
      </c>
    </row>
    <row r="2031" spans="1:9" ht="46.8">
      <c r="A2031" s="8">
        <v>4522075</v>
      </c>
      <c r="B2031" s="8" t="s">
        <v>249</v>
      </c>
      <c r="C2031" s="54" t="str">
        <f>HYPERLINK("https://catalog.archives.gov/search?q=*:*&amp;f.ancestorNaIds=4522075&amp;sort=naIdSort%20asc","Petitions for Naturalization of Minors, Connecticut (Superior Court, Middlesex County), 1903-1906")</f>
        <v>Petitions for Naturalization of Minors, Connecticut (Superior Court, Middlesex County), 1903-1906</v>
      </c>
      <c r="D2031" s="12"/>
      <c r="E2031" s="12"/>
      <c r="F2031" s="31" t="str">
        <f t="shared" si="81"/>
        <v>FamilySearch.org</v>
      </c>
      <c r="G2031" s="12"/>
      <c r="H2031" s="8" t="s">
        <v>3058</v>
      </c>
      <c r="I2031" s="15" t="s">
        <v>11</v>
      </c>
    </row>
    <row r="2032" spans="1:9" ht="46.8">
      <c r="A2032" s="8">
        <v>4522153</v>
      </c>
      <c r="B2032" s="8" t="s">
        <v>249</v>
      </c>
      <c r="C2032" s="54" t="str">
        <f>HYPERLINK("https://catalog.archives.gov/search?q=*:*&amp;f.ancestorNaIds=4522153&amp;sort=naIdSort%20asc","Records of Naturalizations of Adults, Connecticut (District Court, New Haven County at Waterbury), 1885-1906")</f>
        <v>Records of Naturalizations of Adults, Connecticut (District Court, New Haven County at Waterbury), 1885-1906</v>
      </c>
      <c r="D2032" s="12"/>
      <c r="E2032" s="12"/>
      <c r="F2032" s="31" t="str">
        <f t="shared" ref="F2032:F2033" si="82">HYPERLINK("https://www.familysearch.org/search/catalog/3020593","FamilySearch.org")</f>
        <v>FamilySearch.org</v>
      </c>
      <c r="G2032" s="12"/>
      <c r="H2032" s="8" t="s">
        <v>3058</v>
      </c>
      <c r="I2032" s="15" t="s">
        <v>11</v>
      </c>
    </row>
    <row r="2033" spans="1:9" ht="46.8">
      <c r="A2033" s="8">
        <v>4522170</v>
      </c>
      <c r="B2033" s="8" t="s">
        <v>249</v>
      </c>
      <c r="C2033" s="54" t="str">
        <f>HYPERLINK("https://catalog.archives.gov/search?q=*:*&amp;f.ancestorNaIds=4522170&amp;sort=naIdSort%20asc","Records of Naturalizations of Minors, Connecticut (District Court, New Haven County at Waterbury), 1885-1906")</f>
        <v>Records of Naturalizations of Minors, Connecticut (District Court, New Haven County at Waterbury), 1885-1906</v>
      </c>
      <c r="D2033" s="12"/>
      <c r="E2033" s="12"/>
      <c r="F2033" s="31" t="str">
        <f t="shared" si="82"/>
        <v>FamilySearch.org</v>
      </c>
      <c r="G2033" s="12"/>
      <c r="H2033" s="8" t="s">
        <v>3058</v>
      </c>
      <c r="I2033" s="15" t="s">
        <v>11</v>
      </c>
    </row>
    <row r="2034" spans="1:9" ht="31.2">
      <c r="A2034" s="29">
        <v>4522188</v>
      </c>
      <c r="B2034" s="8" t="s">
        <v>249</v>
      </c>
      <c r="C2034" s="35" t="s">
        <v>3205</v>
      </c>
      <c r="D2034" s="12"/>
      <c r="E2034" s="26" t="s">
        <v>14</v>
      </c>
      <c r="F2034" s="12"/>
      <c r="G2034" s="12"/>
      <c r="H2034" s="33">
        <v>21</v>
      </c>
      <c r="I2034" s="23" t="s">
        <v>18</v>
      </c>
    </row>
    <row r="2035" spans="1:9" ht="31.2">
      <c r="A2035" s="29">
        <v>4522192</v>
      </c>
      <c r="B2035" s="8" t="s">
        <v>249</v>
      </c>
      <c r="C2035" s="35" t="s">
        <v>3206</v>
      </c>
      <c r="D2035" s="12"/>
      <c r="E2035" s="26" t="s">
        <v>14</v>
      </c>
      <c r="F2035" s="12"/>
      <c r="G2035" s="12"/>
      <c r="H2035" s="33">
        <v>21</v>
      </c>
      <c r="I2035" s="23" t="s">
        <v>11</v>
      </c>
    </row>
    <row r="2036" spans="1:9" ht="31.2">
      <c r="A2036" s="29">
        <v>4522204</v>
      </c>
      <c r="B2036" s="8" t="s">
        <v>249</v>
      </c>
      <c r="C2036" s="35" t="s">
        <v>3207</v>
      </c>
      <c r="D2036" s="12"/>
      <c r="E2036" s="26" t="s">
        <v>14</v>
      </c>
      <c r="F2036" s="12"/>
      <c r="G2036" s="12"/>
      <c r="H2036" s="33">
        <v>21</v>
      </c>
      <c r="I2036" s="23" t="s">
        <v>11</v>
      </c>
    </row>
    <row r="2037" spans="1:9" ht="46.8">
      <c r="A2037" s="29">
        <v>4522208</v>
      </c>
      <c r="B2037" s="8" t="s">
        <v>249</v>
      </c>
      <c r="C2037" s="35" t="s">
        <v>3208</v>
      </c>
      <c r="D2037" s="12"/>
      <c r="E2037" s="26" t="s">
        <v>14</v>
      </c>
      <c r="F2037" s="12"/>
      <c r="G2037" s="12"/>
      <c r="H2037" s="33">
        <v>21</v>
      </c>
      <c r="I2037" s="23" t="s">
        <v>11</v>
      </c>
    </row>
    <row r="2038" spans="1:9" ht="46.8">
      <c r="A2038" s="8">
        <v>4522212</v>
      </c>
      <c r="B2038" s="8" t="s">
        <v>249</v>
      </c>
      <c r="C2038" s="54" t="str">
        <f>HYPERLINK("https://catalog.archives.gov/search?q=*:*&amp;f.ancestorNaIds=4522212&amp;sort=naIdSort%20asc","Certificate Stub Books, Connecticut (Superior Court, New Haven County at Waterbury), 1907-1926")</f>
        <v>Certificate Stub Books, Connecticut (Superior Court, New Haven County at Waterbury), 1907-1926</v>
      </c>
      <c r="D2038" s="12"/>
      <c r="E2038" s="12"/>
      <c r="F2038" s="31" t="str">
        <f>HYPERLINK("https://www.familysearch.org/search/catalog/2999257","FamilySearch.org")</f>
        <v>FamilySearch.org</v>
      </c>
      <c r="G2038" s="12"/>
      <c r="H2038" s="8" t="s">
        <v>3058</v>
      </c>
      <c r="I2038" s="15" t="s">
        <v>11</v>
      </c>
    </row>
    <row r="2039" spans="1:9" ht="46.8">
      <c r="A2039" s="29">
        <v>4522222</v>
      </c>
      <c r="B2039" s="8" t="s">
        <v>249</v>
      </c>
      <c r="C2039" s="35" t="s">
        <v>3209</v>
      </c>
      <c r="D2039" s="12"/>
      <c r="E2039" s="26" t="s">
        <v>14</v>
      </c>
      <c r="F2039" s="12"/>
      <c r="G2039" s="12"/>
      <c r="H2039" s="33">
        <v>21</v>
      </c>
      <c r="I2039" s="23" t="s">
        <v>11</v>
      </c>
    </row>
    <row r="2040" spans="1:9" ht="31.2">
      <c r="A2040" s="29">
        <v>4522254</v>
      </c>
      <c r="B2040" s="8" t="s">
        <v>249</v>
      </c>
      <c r="C2040" s="35" t="s">
        <v>3210</v>
      </c>
      <c r="D2040" s="12"/>
      <c r="E2040" s="26" t="s">
        <v>14</v>
      </c>
      <c r="F2040" s="12"/>
      <c r="G2040" s="12"/>
      <c r="H2040" s="33">
        <v>21</v>
      </c>
      <c r="I2040" s="23" t="s">
        <v>11</v>
      </c>
    </row>
    <row r="2041" spans="1:9" ht="31.2">
      <c r="A2041" s="29">
        <v>4522256</v>
      </c>
      <c r="B2041" s="8" t="s">
        <v>249</v>
      </c>
      <c r="C2041" s="35" t="s">
        <v>3211</v>
      </c>
      <c r="D2041" s="12"/>
      <c r="E2041" s="26" t="s">
        <v>14</v>
      </c>
      <c r="F2041" s="12"/>
      <c r="G2041" s="12"/>
      <c r="H2041" s="33">
        <v>21</v>
      </c>
      <c r="I2041" s="23" t="s">
        <v>18</v>
      </c>
    </row>
    <row r="2042" spans="1:9" ht="31.2">
      <c r="A2042" s="29">
        <v>4522259</v>
      </c>
      <c r="B2042" s="8" t="s">
        <v>249</v>
      </c>
      <c r="C2042" s="16" t="s">
        <v>3212</v>
      </c>
      <c r="D2042" s="12"/>
      <c r="E2042" s="26" t="s">
        <v>14</v>
      </c>
      <c r="F2042" s="12"/>
      <c r="G2042" s="12"/>
      <c r="H2042" s="33">
        <v>21</v>
      </c>
      <c r="I2042" s="14" t="s">
        <v>15</v>
      </c>
    </row>
    <row r="2043" spans="1:9" ht="46.8">
      <c r="A2043" s="29">
        <v>4522336</v>
      </c>
      <c r="B2043" s="8" t="s">
        <v>249</v>
      </c>
      <c r="C2043" s="16" t="s">
        <v>3213</v>
      </c>
      <c r="D2043" s="12"/>
      <c r="E2043" s="26" t="s">
        <v>14</v>
      </c>
      <c r="F2043" s="12"/>
      <c r="G2043" s="12"/>
      <c r="H2043" s="33">
        <v>21</v>
      </c>
      <c r="I2043" s="14" t="s">
        <v>15</v>
      </c>
    </row>
    <row r="2044" spans="1:9" ht="46.8">
      <c r="A2044" s="29">
        <v>4522339</v>
      </c>
      <c r="B2044" s="8" t="s">
        <v>249</v>
      </c>
      <c r="C2044" s="16" t="s">
        <v>3214</v>
      </c>
      <c r="D2044" s="12"/>
      <c r="E2044" s="26" t="s">
        <v>14</v>
      </c>
      <c r="F2044" s="12"/>
      <c r="G2044" s="12"/>
      <c r="H2044" s="33">
        <v>21</v>
      </c>
      <c r="I2044" s="14" t="s">
        <v>15</v>
      </c>
    </row>
    <row r="2045" spans="1:9" ht="46.8">
      <c r="A2045" s="8">
        <v>4526745</v>
      </c>
      <c r="B2045" s="8" t="s">
        <v>249</v>
      </c>
      <c r="C2045" s="54" t="str">
        <f>HYPERLINK("https://catalog.archives.gov/search?q=*:*&amp;f.ancestorNaIds=4526745&amp;sort=naIdSort%20asc","Records of Declarations of Intention, Connecticut (City Court, Bridgeport), 1852-1877")</f>
        <v>Records of Declarations of Intention, Connecticut (City Court, Bridgeport), 1852-1877</v>
      </c>
      <c r="D2045" s="12"/>
      <c r="E2045" s="12"/>
      <c r="F2045" s="31" t="str">
        <f>HYPERLINK("https://www.familysearch.org/search/catalog/2999521","FamilySearch.org")</f>
        <v>FamilySearch.org</v>
      </c>
      <c r="G2045" s="12"/>
      <c r="H2045" s="8" t="s">
        <v>3058</v>
      </c>
      <c r="I2045" s="15" t="s">
        <v>11</v>
      </c>
    </row>
    <row r="2046" spans="1:9" ht="46.8">
      <c r="A2046" s="8">
        <v>4526759</v>
      </c>
      <c r="B2046" s="8" t="s">
        <v>249</v>
      </c>
      <c r="C2046" s="54" t="str">
        <f>HYPERLINK("https://catalog.archives.gov/search?q=*:*&amp;f.ancestorNaIds=4526759&amp;sort=naIdSort%20asc","Index to Aliens' Declarations of Intention, Connecticut (City Court, New Britain), 1875-1903")</f>
        <v>Index to Aliens' Declarations of Intention, Connecticut (City Court, New Britain), 1875-1903</v>
      </c>
      <c r="D2046" s="12"/>
      <c r="E2046" s="12"/>
      <c r="F2046" s="31" t="str">
        <f t="shared" ref="F2046:F2047" si="83">HYPERLINK("https://www.familysearch.org/search/catalog/1491326","FamilySearch.org")</f>
        <v>FamilySearch.org</v>
      </c>
      <c r="G2046" s="12"/>
      <c r="H2046" s="8" t="s">
        <v>3058</v>
      </c>
      <c r="I2046" s="15" t="s">
        <v>11</v>
      </c>
    </row>
    <row r="2047" spans="1:9" ht="31.2">
      <c r="A2047" s="8">
        <v>4526763</v>
      </c>
      <c r="B2047" s="8" t="s">
        <v>249</v>
      </c>
      <c r="C2047" s="54" t="str">
        <f>HYPERLINK("https://catalog.archives.gov/search?q=*:*&amp;f.ancestorNaIds=4526763&amp;sort=naIdSort%20asc","Index to Declarations of Intention, Connecticut (City Court, New Britain), 1917-1939")</f>
        <v>Index to Declarations of Intention, Connecticut (City Court, New Britain), 1917-1939</v>
      </c>
      <c r="D2047" s="12"/>
      <c r="E2047" s="12"/>
      <c r="F2047" s="31" t="str">
        <f t="shared" si="83"/>
        <v>FamilySearch.org</v>
      </c>
      <c r="G2047" s="12"/>
      <c r="H2047" s="8" t="s">
        <v>3058</v>
      </c>
      <c r="I2047" s="15" t="s">
        <v>11</v>
      </c>
    </row>
    <row r="2048" spans="1:9" ht="28.8">
      <c r="A2048" s="29">
        <v>4526774</v>
      </c>
      <c r="B2048" s="8" t="s">
        <v>249</v>
      </c>
      <c r="C2048" s="93" t="s">
        <v>3215</v>
      </c>
      <c r="D2048" s="12"/>
      <c r="E2048" s="32"/>
      <c r="F2048" s="31" t="s">
        <v>43</v>
      </c>
      <c r="G2048" s="12"/>
      <c r="H2048" s="33" t="s">
        <v>3058</v>
      </c>
      <c r="I2048" s="23" t="s">
        <v>11</v>
      </c>
    </row>
    <row r="2049" spans="1:9" ht="31.2">
      <c r="A2049" s="8">
        <v>4526776</v>
      </c>
      <c r="B2049" s="8" t="s">
        <v>249</v>
      </c>
      <c r="C2049" s="54" t="str">
        <f>HYPERLINK("https://catalog.archives.gov/search?q=*:*&amp;f.ancestorNaIds=4526776&amp;sort=naIdSort%20asc","Records of Naturalizations, Connecticut (City Court, New Britain), 1872-1906")</f>
        <v>Records of Naturalizations, Connecticut (City Court, New Britain), 1872-1906</v>
      </c>
      <c r="D2049" s="12"/>
      <c r="E2049" s="12"/>
      <c r="F2049" s="31" t="str">
        <f>HYPERLINK("https://www.familysearch.org/search/catalog/1491326","FamilySearch.org")</f>
        <v>FamilySearch.org</v>
      </c>
      <c r="G2049" s="12"/>
      <c r="H2049" s="8" t="s">
        <v>3058</v>
      </c>
      <c r="I2049" s="15" t="s">
        <v>11</v>
      </c>
    </row>
    <row r="2050" spans="1:9" ht="43.2">
      <c r="A2050" s="29">
        <v>4526824</v>
      </c>
      <c r="B2050" s="8" t="s">
        <v>249</v>
      </c>
      <c r="C2050" s="93" t="s">
        <v>3216</v>
      </c>
      <c r="D2050" s="12"/>
      <c r="E2050" s="32"/>
      <c r="F2050" s="31" t="s">
        <v>43</v>
      </c>
      <c r="G2050" s="12"/>
      <c r="H2050" s="33" t="s">
        <v>3058</v>
      </c>
      <c r="I2050" s="23" t="s">
        <v>11</v>
      </c>
    </row>
    <row r="2051" spans="1:9" ht="46.8">
      <c r="A2051" s="8">
        <v>4526827</v>
      </c>
      <c r="B2051" s="8" t="s">
        <v>249</v>
      </c>
      <c r="C2051" s="54" t="str">
        <f>HYPERLINK("https://catalog.archives.gov/search?q=*:*&amp;f.ancestorNaIds=4526827&amp;sort=naIdSort%20asc","Record Book of Women's Petitions for Repatriation, Connecticut (City Court, New Britain), 1936-1939")</f>
        <v>Record Book of Women's Petitions for Repatriation, Connecticut (City Court, New Britain), 1936-1939</v>
      </c>
      <c r="D2051" s="12"/>
      <c r="E2051" s="12"/>
      <c r="F2051" s="31" t="str">
        <f>HYPERLINK("https://www.familysearch.org/search/catalog/1491326","FamilySearch.org")</f>
        <v>FamilySearch.org</v>
      </c>
      <c r="G2051" s="12"/>
      <c r="H2051" s="8" t="s">
        <v>3058</v>
      </c>
      <c r="I2051" s="15" t="s">
        <v>11</v>
      </c>
    </row>
    <row r="2052" spans="1:9" ht="31.2">
      <c r="A2052" s="8">
        <v>4526831</v>
      </c>
      <c r="B2052" s="8" t="s">
        <v>249</v>
      </c>
      <c r="C2052" s="54" t="str">
        <f>HYPERLINK("https://catalog.archives.gov/search?q=*:*&amp;f.ancestorNaIds=4526831&amp;sort=naIdSort%20asc","Petitions for Naturalization, Connecticut (City Court, New London), 1793-1855")</f>
        <v>Petitions for Naturalization, Connecticut (City Court, New London), 1793-1855</v>
      </c>
      <c r="D2052" s="12"/>
      <c r="E2052" s="12"/>
      <c r="F2052" s="31" t="str">
        <f>HYPERLINK("https://www.familysearch.org/search/catalog/2999526","FamilySearch.org")</f>
        <v>FamilySearch.org</v>
      </c>
      <c r="G2052" s="12"/>
      <c r="H2052" s="8" t="s">
        <v>3058</v>
      </c>
      <c r="I2052" s="15" t="s">
        <v>11</v>
      </c>
    </row>
    <row r="2053" spans="1:9" ht="31.2">
      <c r="A2053" s="8">
        <v>4526860</v>
      </c>
      <c r="B2053" s="8" t="s">
        <v>249</v>
      </c>
      <c r="C2053" s="54" t="str">
        <f>HYPERLINK("https://catalog.archives.gov/search?q=*:*&amp;f.ancestorNaIds=4526860&amp;sort=naIdSort%20asc","Records of Naturalizations, Connecticut (City Court, Waterbury), 1854-1879")</f>
        <v>Records of Naturalizations, Connecticut (City Court, Waterbury), 1854-1879</v>
      </c>
      <c r="D2053" s="12"/>
      <c r="E2053" s="12"/>
      <c r="F2053" s="31" t="str">
        <f>HYPERLINK("https://www.familysearch.org/search/catalog/595137","FamilySearch.org")</f>
        <v>FamilySearch.org</v>
      </c>
      <c r="G2053" s="12"/>
      <c r="H2053" s="8" t="s">
        <v>3058</v>
      </c>
      <c r="I2053" s="15" t="s">
        <v>11</v>
      </c>
    </row>
    <row r="2054" spans="1:9" ht="46.8">
      <c r="A2054" s="8">
        <v>4526878</v>
      </c>
      <c r="B2054" s="8" t="s">
        <v>249</v>
      </c>
      <c r="C2054" s="54" t="str">
        <f>HYPERLINK("https://catalog.archives.gov/search?q=*:*&amp;f.ancestorNaIds=4526878&amp;sort=naIdSort%20asc","Records of Declarations of Intention, Connecticut (Superior Court, New London County), 1854-1906")</f>
        <v>Records of Declarations of Intention, Connecticut (Superior Court, New London County), 1854-1906</v>
      </c>
      <c r="D2054" s="12"/>
      <c r="E2054" s="12"/>
      <c r="F2054" s="31" t="str">
        <f t="shared" ref="F2054:F2055" si="84">HYPERLINK("https://www.familysearch.org/search/catalog/593486","FamilySearch.org")</f>
        <v>FamilySearch.org</v>
      </c>
      <c r="G2054" s="12"/>
      <c r="H2054" s="8" t="s">
        <v>3058</v>
      </c>
      <c r="I2054" s="15" t="s">
        <v>11</v>
      </c>
    </row>
    <row r="2055" spans="1:9" ht="46.8">
      <c r="A2055" s="8">
        <v>4526886</v>
      </c>
      <c r="B2055" s="8" t="s">
        <v>249</v>
      </c>
      <c r="C2055" s="54" t="str">
        <f>HYPERLINK("https://catalog.archives.gov/search?q=*:*&amp;f.ancestorNaIds=4526886&amp;sort=naIdSort%20asc","Applications for Declaration of Intention, Connecticut (Superior Court, New London County), 1926-1930")</f>
        <v>Applications for Declaration of Intention, Connecticut (Superior Court, New London County), 1926-1930</v>
      </c>
      <c r="D2055" s="12"/>
      <c r="E2055" s="12"/>
      <c r="F2055" s="31" t="str">
        <f t="shared" si="84"/>
        <v>FamilySearch.org</v>
      </c>
      <c r="G2055" s="12"/>
      <c r="H2055" s="8" t="s">
        <v>3058</v>
      </c>
      <c r="I2055" s="15" t="s">
        <v>11</v>
      </c>
    </row>
    <row r="2056" spans="1:9" ht="46.8">
      <c r="A2056" s="8">
        <v>4527067</v>
      </c>
      <c r="B2056" s="8" t="s">
        <v>249</v>
      </c>
      <c r="C2056" s="54" t="str">
        <f>HYPERLINK("https://catalog.archives.gov/search?q=*:*&amp;f.ancestorNaIds=4527067&amp;sort=naIdSort%20asc","Index to Naturalization Records, Connecticut (Superior Court, New London County), 1856-1905")</f>
        <v>Index to Naturalization Records, Connecticut (Superior Court, New London County), 1856-1905</v>
      </c>
      <c r="D2056" s="12"/>
      <c r="E2056" s="12"/>
      <c r="F2056" s="31" t="str">
        <f>HYPERLINK("https://www.familysearch.org/search/catalog/593501","FamilySearch.org")</f>
        <v>FamilySearch.org</v>
      </c>
      <c r="G2056" s="12"/>
      <c r="H2056" s="8" t="s">
        <v>3058</v>
      </c>
      <c r="I2056" s="15" t="s">
        <v>11</v>
      </c>
    </row>
    <row r="2057" spans="1:9" ht="31.2">
      <c r="A2057" s="8">
        <v>4527073</v>
      </c>
      <c r="B2057" s="8" t="s">
        <v>249</v>
      </c>
      <c r="C2057" s="54" t="str">
        <f>HYPERLINK("https://catalog.archives.gov/search?q=*:*&amp;f.ancestorNaIds=4527073&amp;sort=naIdSort%20asc","Index to Naturalizations, Connecticut (Superior Court, New London County), 1910 - 1975")</f>
        <v>Index to Naturalizations, Connecticut (Superior Court, New London County), 1910 - 1975</v>
      </c>
      <c r="D2057" s="12"/>
      <c r="E2057" s="12"/>
      <c r="F2057" s="31" t="str">
        <f>HYPERLINK("https://www.familysearch.org/search/catalog/results?count=20&amp;query=%2Bkeywords%3A4527073","FamilySearch.org")</f>
        <v>FamilySearch.org</v>
      </c>
      <c r="G2057" s="12"/>
      <c r="H2057" s="8" t="s">
        <v>3058</v>
      </c>
      <c r="I2057" s="15" t="s">
        <v>11</v>
      </c>
    </row>
    <row r="2058" spans="1:9" ht="46.8">
      <c r="A2058" s="8">
        <v>4527077</v>
      </c>
      <c r="B2058" s="8" t="s">
        <v>249</v>
      </c>
      <c r="C2058" s="54" t="str">
        <f>HYPERLINK("https://catalog.archives.gov/search?q=*:*&amp;f.ancestorNaIds=4527077&amp;sort=naIdSort%20asc","Records of Naturalizations, Connecticut (Superior Court, New London County), 1856-1905")</f>
        <v>Records of Naturalizations, Connecticut (Superior Court, New London County), 1856-1905</v>
      </c>
      <c r="D2058" s="12"/>
      <c r="E2058" s="12"/>
      <c r="F2058" s="31" t="str">
        <f t="shared" ref="F2058:F2059" si="85">HYPERLINK("https://www.familysearch.org/search/catalog/593486","FamilySearch.org")</f>
        <v>FamilySearch.org</v>
      </c>
      <c r="G2058" s="12"/>
      <c r="H2058" s="8" t="s">
        <v>3058</v>
      </c>
      <c r="I2058" s="15" t="s">
        <v>11</v>
      </c>
    </row>
    <row r="2059" spans="1:9" ht="46.8">
      <c r="A2059" s="8">
        <v>4527079</v>
      </c>
      <c r="B2059" s="8" t="s">
        <v>249</v>
      </c>
      <c r="C2059" s="54" t="str">
        <f>HYPERLINK("https://catalog.archives.gov/search?q=*:*&amp;f.ancestorNaIds=4527079&amp;sort=naIdSort%20asc","Applications for Petitions and Records of Naturalization, Connecticut (Superior Court, New London County), 1929-1930")</f>
        <v>Applications for Petitions and Records of Naturalization, Connecticut (Superior Court, New London County), 1929-1930</v>
      </c>
      <c r="D2059" s="12"/>
      <c r="E2059" s="12"/>
      <c r="F2059" s="31" t="str">
        <f t="shared" si="85"/>
        <v>FamilySearch.org</v>
      </c>
      <c r="G2059" s="12"/>
      <c r="H2059" s="8" t="s">
        <v>3058</v>
      </c>
      <c r="I2059" s="15" t="s">
        <v>11</v>
      </c>
    </row>
    <row r="2060" spans="1:9" ht="46.8">
      <c r="A2060" s="29">
        <v>4527091</v>
      </c>
      <c r="B2060" s="8" t="s">
        <v>249</v>
      </c>
      <c r="C2060" s="54" t="s">
        <v>3217</v>
      </c>
      <c r="D2060" s="12"/>
      <c r="E2060" s="12"/>
      <c r="F2060" s="31" t="s">
        <v>43</v>
      </c>
      <c r="G2060" s="12"/>
      <c r="H2060" s="33" t="s">
        <v>3058</v>
      </c>
      <c r="I2060" s="23" t="s">
        <v>11</v>
      </c>
    </row>
    <row r="2061" spans="1:9" ht="31.2">
      <c r="A2061" s="8">
        <v>4527118</v>
      </c>
      <c r="B2061" s="8" t="s">
        <v>249</v>
      </c>
      <c r="C2061" s="37" t="s">
        <v>3218</v>
      </c>
      <c r="D2061" s="12"/>
      <c r="E2061" s="12"/>
      <c r="F2061" s="26" t="s">
        <v>43</v>
      </c>
      <c r="G2061" s="12"/>
      <c r="H2061" s="8">
        <v>21</v>
      </c>
      <c r="I2061" s="7" t="s">
        <v>15</v>
      </c>
    </row>
    <row r="2062" spans="1:9" ht="31.2">
      <c r="A2062" s="8">
        <v>4529372</v>
      </c>
      <c r="B2062" s="8" t="s">
        <v>249</v>
      </c>
      <c r="C2062" s="34" t="s">
        <v>3219</v>
      </c>
      <c r="D2062" s="12"/>
      <c r="E2062" s="12"/>
      <c r="F2062" s="31" t="str">
        <f>HYPERLINK("https://www.familysearch.org/search/catalog/2829744","FamilySearch.org")</f>
        <v>FamilySearch.org</v>
      </c>
      <c r="G2062" s="12"/>
      <c r="H2062" s="8">
        <v>36</v>
      </c>
      <c r="I2062" s="7" t="s">
        <v>11</v>
      </c>
    </row>
    <row r="2063" spans="1:9" ht="31.2">
      <c r="A2063" s="8">
        <v>4529391</v>
      </c>
      <c r="B2063" s="8" t="s">
        <v>249</v>
      </c>
      <c r="C2063" s="37" t="s">
        <v>3220</v>
      </c>
      <c r="D2063" s="12"/>
      <c r="E2063" s="12"/>
      <c r="F2063" s="31" t="str">
        <f>HYPERLINK("https://www.familysearch.org/search/catalog/2822097","FamilySearch.org")</f>
        <v>FamilySearch.org</v>
      </c>
      <c r="G2063" s="12"/>
      <c r="H2063" s="8">
        <v>36</v>
      </c>
      <c r="I2063" s="7" t="s">
        <v>15</v>
      </c>
    </row>
    <row r="2064" spans="1:9" ht="31.2">
      <c r="A2064" s="36">
        <v>4529409</v>
      </c>
      <c r="B2064" s="8" t="s">
        <v>249</v>
      </c>
      <c r="C2064" s="16" t="s">
        <v>3221</v>
      </c>
      <c r="D2064" s="12"/>
      <c r="E2064" s="12"/>
      <c r="F2064" s="32" t="s">
        <v>43</v>
      </c>
      <c r="G2064" s="12"/>
      <c r="H2064" s="33">
        <v>21</v>
      </c>
      <c r="I2064" s="14" t="s">
        <v>15</v>
      </c>
    </row>
    <row r="2065" spans="1:9" ht="31.2">
      <c r="A2065" s="8">
        <v>4529887</v>
      </c>
      <c r="B2065" s="8" t="s">
        <v>249</v>
      </c>
      <c r="C2065" s="54" t="str">
        <f>HYPERLINK("https://catalog.archives.gov/search?q=*:*&amp;f.ancestorNaIds=4529887&amp;sort=naIdSort%20asc","Petitions for Naturalization, Connecticut (Superior Court, Windham County),  1808-1900")</f>
        <v>Petitions for Naturalization, Connecticut (Superior Court, Windham County),  1808-1900</v>
      </c>
      <c r="D2065" s="12"/>
      <c r="E2065" s="12"/>
      <c r="F2065" s="31" t="str">
        <f t="shared" ref="F2065:F2067" si="86">HYPERLINK("https://www.familysearch.org/search/catalog/598966","FamilySearch.org")</f>
        <v>FamilySearch.org</v>
      </c>
      <c r="G2065" s="12"/>
      <c r="H2065" s="8" t="s">
        <v>3058</v>
      </c>
      <c r="I2065" s="15" t="s">
        <v>11</v>
      </c>
    </row>
    <row r="2066" spans="1:9" ht="31.2">
      <c r="A2066" s="8">
        <v>4529893</v>
      </c>
      <c r="B2066" s="8" t="s">
        <v>249</v>
      </c>
      <c r="C2066" s="54" t="str">
        <f>HYPERLINK("https://catalog.archives.gov/search?q=*:*&amp;f.ancestorNaIds=4529893&amp;sort=naIdSort%20asc","Records of Naturalization, Connecticut (Superior Court, Windham County), 1855-1906")</f>
        <v>Records of Naturalization, Connecticut (Superior Court, Windham County), 1855-1906</v>
      </c>
      <c r="D2066" s="12"/>
      <c r="E2066" s="12"/>
      <c r="F2066" s="31" t="str">
        <f t="shared" si="86"/>
        <v>FamilySearch.org</v>
      </c>
      <c r="G2066" s="12"/>
      <c r="H2066" s="8" t="s">
        <v>3058</v>
      </c>
      <c r="I2066" s="15" t="s">
        <v>11</v>
      </c>
    </row>
    <row r="2067" spans="1:9" ht="46.8">
      <c r="A2067" s="8">
        <v>4530026</v>
      </c>
      <c r="B2067" s="8" t="s">
        <v>249</v>
      </c>
      <c r="C2067" s="54" t="str">
        <f>HYPERLINK("https://catalog.archives.gov/search?q=*:*&amp;f.ancestorNaIds=4530026&amp;sort=naIdSort%20asc","Naturalization Certificate Stub Books, Connecticut (Superior Court, Windham County), 1907-1926")</f>
        <v>Naturalization Certificate Stub Books, Connecticut (Superior Court, Windham County), 1907-1926</v>
      </c>
      <c r="D2067" s="12"/>
      <c r="E2067" s="12"/>
      <c r="F2067" s="31" t="str">
        <f t="shared" si="86"/>
        <v>FamilySearch.org</v>
      </c>
      <c r="G2067" s="12"/>
      <c r="H2067" s="8" t="s">
        <v>3058</v>
      </c>
      <c r="I2067" s="15" t="s">
        <v>11</v>
      </c>
    </row>
    <row r="2068" spans="1:9" ht="31.2">
      <c r="A2068" s="8">
        <v>4530045</v>
      </c>
      <c r="B2068" s="8" t="s">
        <v>249</v>
      </c>
      <c r="C2068" s="54" t="str">
        <f>HYPERLINK("https://catalog.archives.gov/search?q=*:*&amp;f.ancestorNaIds=4530045&amp;sort=naIdSort%20asc","Petitions for Naturalization, Connecticut (Superior Court, Tolland County), 1825-1896")</f>
        <v>Petitions for Naturalization, Connecticut (Superior Court, Tolland County), 1825-1896</v>
      </c>
      <c r="D2068" s="12"/>
      <c r="E2068" s="12"/>
      <c r="F2068" s="31" t="str">
        <f t="shared" ref="F2068:F2069" si="87">HYPERLINK("https://www.familysearch.org/search/catalog/595137","FamilySearch.org")</f>
        <v>FamilySearch.org</v>
      </c>
      <c r="G2068" s="12"/>
      <c r="H2068" s="8" t="s">
        <v>3058</v>
      </c>
      <c r="I2068" s="15" t="s">
        <v>11</v>
      </c>
    </row>
    <row r="2069" spans="1:9" ht="31.2">
      <c r="A2069" s="8">
        <v>4531201</v>
      </c>
      <c r="B2069" s="8" t="s">
        <v>249</v>
      </c>
      <c r="C2069" s="54" t="str">
        <f>HYPERLINK("https://catalog.archives.gov/search?q=*:*&amp;f.ancestorNaIds=4531201&amp;sort=naIdSort%20asc","Certificate Stub Books, Connecticut (Superior Court, Tolland County), 1909-1927")</f>
        <v>Certificate Stub Books, Connecticut (Superior Court, Tolland County), 1909-1927</v>
      </c>
      <c r="D2069" s="12"/>
      <c r="E2069" s="12"/>
      <c r="F2069" s="31" t="str">
        <f t="shared" si="87"/>
        <v>FamilySearch.org</v>
      </c>
      <c r="G2069" s="12"/>
      <c r="H2069" s="8" t="s">
        <v>3058</v>
      </c>
      <c r="I2069" s="15" t="s">
        <v>11</v>
      </c>
    </row>
    <row r="2070" spans="1:9" ht="46.8">
      <c r="A2070" s="8">
        <v>4532629</v>
      </c>
      <c r="B2070" s="8" t="s">
        <v>249</v>
      </c>
      <c r="C2070" s="54" t="str">
        <f>HYPERLINK("https://catalog.archives.gov/search?q=*:*&amp;f.ancestorNaIds=4532629&amp;sort=naIdSort%20asc","Records of Declarations of Intention Filed, Connecticut (Court of Common Pleas, New Haven County), 1876-1906")</f>
        <v>Records of Declarations of Intention Filed, Connecticut (Court of Common Pleas, New Haven County), 1876-1906</v>
      </c>
      <c r="D2070" s="12"/>
      <c r="E2070" s="12"/>
      <c r="F2070" s="31" t="str">
        <f t="shared" ref="F2070:F2071" si="88">HYPERLINK("https://www.familysearch.org/search/catalog/2840253","FamilySearch.org")</f>
        <v>FamilySearch.org</v>
      </c>
      <c r="G2070" s="12"/>
      <c r="H2070" s="8" t="s">
        <v>3058</v>
      </c>
      <c r="I2070" s="15" t="s">
        <v>11</v>
      </c>
    </row>
    <row r="2071" spans="1:9" ht="46.8">
      <c r="A2071" s="8">
        <v>4532630</v>
      </c>
      <c r="B2071" s="8" t="s">
        <v>249</v>
      </c>
      <c r="C2071" s="54" t="str">
        <f>HYPERLINK("https://catalog.archives.gov/search?q=*:*&amp;f.ancestorNaIds=4532630&amp;sort=naIdSort%20asc","Records of Naturalizations for Adults, Connecticut (Court of Common Pleas, New Haven County), 1874-1906")</f>
        <v>Records of Naturalizations for Adults, Connecticut (Court of Common Pleas, New Haven County), 1874-1906</v>
      </c>
      <c r="D2071" s="12"/>
      <c r="E2071" s="12"/>
      <c r="F2071" s="31" t="str">
        <f t="shared" si="88"/>
        <v>FamilySearch.org</v>
      </c>
      <c r="G2071" s="12"/>
      <c r="H2071" s="8" t="s">
        <v>3058</v>
      </c>
      <c r="I2071" s="15" t="s">
        <v>11</v>
      </c>
    </row>
    <row r="2072" spans="1:9" ht="62.4">
      <c r="A2072" s="29">
        <v>4532642</v>
      </c>
      <c r="B2072" s="8" t="s">
        <v>249</v>
      </c>
      <c r="C2072" s="54" t="s">
        <v>3222</v>
      </c>
      <c r="D2072" s="12"/>
      <c r="E2072" s="32"/>
      <c r="F2072" s="31" t="s">
        <v>43</v>
      </c>
      <c r="G2072" s="12"/>
      <c r="H2072" s="33" t="s">
        <v>3058</v>
      </c>
      <c r="I2072" s="23" t="s">
        <v>11</v>
      </c>
    </row>
    <row r="2073" spans="1:9" ht="46.8">
      <c r="A2073" s="8">
        <v>4532644</v>
      </c>
      <c r="B2073" s="8" t="s">
        <v>249</v>
      </c>
      <c r="C2073" s="54" t="str">
        <f>HYPERLINK("https://catalog.archives.gov/search?q=*:*&amp;f.ancestorNaIds=4532644&amp;sort=naIdSort%20asc","Records of Naturalizations for Individuals under 18, Connecticut (Court of Common Pleas, New Haven County), 1875-1906")</f>
        <v>Records of Naturalizations for Individuals under 18, Connecticut (Court of Common Pleas, New Haven County), 1875-1906</v>
      </c>
      <c r="D2073" s="12"/>
      <c r="E2073" s="12"/>
      <c r="F2073" s="31" t="str">
        <f>HYPERLINK("https://www.familysearch.org/search/catalog/2840253","FamilySearch.org")</f>
        <v>FamilySearch.org</v>
      </c>
      <c r="G2073" s="12"/>
      <c r="H2073" s="8" t="s">
        <v>3058</v>
      </c>
      <c r="I2073" s="15" t="s">
        <v>11</v>
      </c>
    </row>
    <row r="2074" spans="1:9" ht="46.8">
      <c r="A2074" s="8">
        <v>4532645</v>
      </c>
      <c r="B2074" s="8" t="s">
        <v>249</v>
      </c>
      <c r="C2074" s="54" t="str">
        <f>HYPERLINK("https://catalog.archives.gov/search?q=*:*&amp;f.ancestorNaIds=4532645&amp;sort=naIdSort%20asc","Records of Declarations of Intention Filed, Connecticut (Superior Court, New Haven County), 1852-1903")</f>
        <v>Records of Declarations of Intention Filed, Connecticut (Superior Court, New Haven County), 1852-1903</v>
      </c>
      <c r="D2074" s="12"/>
      <c r="E2074" s="12"/>
      <c r="F2074" s="31" t="str">
        <f t="shared" ref="F2074:F2076" si="89">HYPERLINK("https://www.familysearch.org/search/catalog/2999525","FamilySearch.org")</f>
        <v>FamilySearch.org</v>
      </c>
      <c r="G2074" s="12"/>
      <c r="H2074" s="8" t="s">
        <v>3058</v>
      </c>
      <c r="I2074" s="15" t="s">
        <v>11</v>
      </c>
    </row>
    <row r="2075" spans="1:9" ht="46.8">
      <c r="A2075" s="8">
        <v>4532647</v>
      </c>
      <c r="B2075" s="8" t="s">
        <v>249</v>
      </c>
      <c r="C2075" s="54" t="str">
        <f>HYPERLINK("https://catalog.archives.gov/search?q=*:*&amp;f.ancestorNaIds=4532647&amp;sort=naIdSort%20asc","Declarations of Intention and Applications for Naturalization, Connecticut (Superior Court, New Haven County), 1803-1868")</f>
        <v>Declarations of Intention and Applications for Naturalization, Connecticut (Superior Court, New Haven County), 1803-1868</v>
      </c>
      <c r="D2075" s="12"/>
      <c r="E2075" s="12"/>
      <c r="F2075" s="31" t="str">
        <f t="shared" si="89"/>
        <v>FamilySearch.org</v>
      </c>
      <c r="G2075" s="12"/>
      <c r="H2075" s="8" t="s">
        <v>3058</v>
      </c>
      <c r="I2075" s="15" t="s">
        <v>11</v>
      </c>
    </row>
    <row r="2076" spans="1:9" ht="62.4">
      <c r="A2076" s="8">
        <v>4532648</v>
      </c>
      <c r="B2076" s="8" t="s">
        <v>249</v>
      </c>
      <c r="C2076" s="54" t="str">
        <f>HYPERLINK("https://catalog.archives.gov/search?q=*:*&amp;f.ancestorNaIds=4532648&amp;sort=naIdSort%20asc","Records of Declarations of Intention and Naturalization Petitions Filed, Connection (Superior Court, New Haven County), 1836-1858")</f>
        <v>Records of Declarations of Intention and Naturalization Petitions Filed, Connection (Superior Court, New Haven County), 1836-1858</v>
      </c>
      <c r="D2076" s="12"/>
      <c r="E2076" s="12"/>
      <c r="F2076" s="31" t="str">
        <f t="shared" si="89"/>
        <v>FamilySearch.org</v>
      </c>
      <c r="G2076" s="12"/>
      <c r="H2076" s="8" t="s">
        <v>3058</v>
      </c>
      <c r="I2076" s="15" t="s">
        <v>11</v>
      </c>
    </row>
    <row r="2077" spans="1:9" ht="46.8">
      <c r="A2077" s="29">
        <v>4556725</v>
      </c>
      <c r="B2077" s="8" t="s">
        <v>249</v>
      </c>
      <c r="C2077" s="35" t="s">
        <v>3223</v>
      </c>
      <c r="D2077" s="12"/>
      <c r="E2077" s="26" t="s">
        <v>14</v>
      </c>
      <c r="F2077" s="12"/>
      <c r="G2077" s="12"/>
      <c r="H2077" s="33">
        <v>21</v>
      </c>
      <c r="I2077" s="23" t="s">
        <v>18</v>
      </c>
    </row>
    <row r="2078" spans="1:9" ht="31.2">
      <c r="A2078" s="8">
        <v>4576618</v>
      </c>
      <c r="B2078" s="8" t="s">
        <v>249</v>
      </c>
      <c r="C2078" s="35" t="s">
        <v>3224</v>
      </c>
      <c r="D2078" s="12"/>
      <c r="E2078" s="12"/>
      <c r="F2078" s="31" t="str">
        <f>HYPERLINK("https://www.familysearch.org/search/catalog/1876623","FamilySearch.org")</f>
        <v>FamilySearch.org</v>
      </c>
      <c r="G2078" s="12"/>
      <c r="H2078" s="8">
        <v>21</v>
      </c>
      <c r="I2078" s="15" t="s">
        <v>18</v>
      </c>
    </row>
    <row r="2079" spans="1:9" ht="31.2">
      <c r="A2079" s="8">
        <v>4576620</v>
      </c>
      <c r="B2079" s="8" t="s">
        <v>249</v>
      </c>
      <c r="C2079" s="35" t="s">
        <v>3225</v>
      </c>
      <c r="D2079" s="12"/>
      <c r="E2079" s="12"/>
      <c r="F2079" s="31" t="str">
        <f>HYPERLINK("https://www.familysearch.org/search/catalog/1876624","FamilySearch.org")</f>
        <v>FamilySearch.org</v>
      </c>
      <c r="G2079" s="12"/>
      <c r="H2079" s="8">
        <v>21</v>
      </c>
      <c r="I2079" s="15" t="s">
        <v>18</v>
      </c>
    </row>
    <row r="2080" spans="1:9" ht="31.2">
      <c r="A2080" s="8">
        <v>4576622</v>
      </c>
      <c r="B2080" s="8" t="s">
        <v>249</v>
      </c>
      <c r="C2080" s="37" t="s">
        <v>3226</v>
      </c>
      <c r="D2080" s="12"/>
      <c r="E2080" s="12"/>
      <c r="F2080" s="31" t="str">
        <f>HYPERLINK("https://www.familysearch.org/search/catalog/2090118","FamilySearch.org")</f>
        <v>FamilySearch.org</v>
      </c>
      <c r="G2080" s="12"/>
      <c r="H2080" s="8">
        <v>21</v>
      </c>
      <c r="I2080" s="7" t="s">
        <v>15</v>
      </c>
    </row>
    <row r="2081" spans="1:9" ht="31.2">
      <c r="A2081" s="8">
        <v>4597265</v>
      </c>
      <c r="B2081" s="8" t="s">
        <v>249</v>
      </c>
      <c r="C2081" s="37" t="s">
        <v>3227</v>
      </c>
      <c r="D2081" s="12"/>
      <c r="E2081" s="12"/>
      <c r="F2081" s="31" t="str">
        <f t="shared" ref="F2081:F2083" si="90">HYPERLINK("https://www.familysearch.org/search/catalog/2831089","FamilySearch.org")</f>
        <v>FamilySearch.org</v>
      </c>
      <c r="G2081" s="12"/>
      <c r="H2081" s="8">
        <v>21</v>
      </c>
      <c r="I2081" s="7" t="s">
        <v>15</v>
      </c>
    </row>
    <row r="2082" spans="1:9" ht="31.2">
      <c r="A2082" s="8">
        <v>4597267</v>
      </c>
      <c r="B2082" s="8" t="s">
        <v>249</v>
      </c>
      <c r="C2082" s="54" t="s">
        <v>3228</v>
      </c>
      <c r="D2082" s="12"/>
      <c r="E2082" s="12"/>
      <c r="F2082" s="31" t="str">
        <f t="shared" si="90"/>
        <v>FamilySearch.org</v>
      </c>
      <c r="G2082" s="12"/>
      <c r="H2082" s="8">
        <v>36</v>
      </c>
      <c r="I2082" s="15" t="s">
        <v>11</v>
      </c>
    </row>
    <row r="2083" spans="1:9" ht="46.8">
      <c r="A2083" s="8">
        <v>4597268</v>
      </c>
      <c r="B2083" s="8" t="s">
        <v>249</v>
      </c>
      <c r="C2083" s="54" t="s">
        <v>3229</v>
      </c>
      <c r="D2083" s="12"/>
      <c r="E2083" s="12"/>
      <c r="F2083" s="31" t="str">
        <f t="shared" si="90"/>
        <v>FamilySearch.org</v>
      </c>
      <c r="G2083" s="12"/>
      <c r="H2083" s="8">
        <v>36</v>
      </c>
      <c r="I2083" s="15" t="s">
        <v>11</v>
      </c>
    </row>
    <row r="2084" spans="1:9" ht="46.8">
      <c r="A2084" s="8">
        <v>4644629</v>
      </c>
      <c r="B2084" s="8" t="s">
        <v>249</v>
      </c>
      <c r="C2084" s="54" t="s">
        <v>3230</v>
      </c>
      <c r="D2084" s="12"/>
      <c r="E2084" s="12"/>
      <c r="F2084" s="31" t="str">
        <f>HYPERLINK("https://www.familysearch.org/search/catalog/1876623","FamilySearch.org")</f>
        <v>FamilySearch.org</v>
      </c>
      <c r="G2084" s="12"/>
      <c r="H2084" s="8">
        <v>21</v>
      </c>
      <c r="I2084" s="15" t="s">
        <v>18</v>
      </c>
    </row>
    <row r="2085" spans="1:9" ht="43.2">
      <c r="A2085" s="8">
        <v>4644630</v>
      </c>
      <c r="B2085" s="8" t="s">
        <v>249</v>
      </c>
      <c r="C2085" s="93" t="s">
        <v>3231</v>
      </c>
      <c r="D2085" s="12"/>
      <c r="E2085" s="12"/>
      <c r="F2085" s="31" t="s">
        <v>43</v>
      </c>
      <c r="G2085" s="12"/>
      <c r="H2085" s="8">
        <v>21</v>
      </c>
      <c r="I2085" s="15" t="s">
        <v>18</v>
      </c>
    </row>
    <row r="2086" spans="1:9" ht="46.8">
      <c r="A2086" s="8">
        <v>4656005</v>
      </c>
      <c r="B2086" s="8" t="s">
        <v>249</v>
      </c>
      <c r="C2086" s="35" t="s">
        <v>3232</v>
      </c>
      <c r="D2086" s="12"/>
      <c r="E2086" s="12"/>
      <c r="F2086" s="31" t="s">
        <v>43</v>
      </c>
      <c r="G2086" s="12"/>
      <c r="H2086" s="8">
        <v>36</v>
      </c>
      <c r="I2086" s="15" t="s">
        <v>11</v>
      </c>
    </row>
    <row r="2087" spans="1:9" ht="31.2">
      <c r="A2087" s="8">
        <v>4656010</v>
      </c>
      <c r="B2087" s="8" t="s">
        <v>249</v>
      </c>
      <c r="C2087" s="54" t="str">
        <f>HYPERLINK("https://catalog.archives.gov/search?q=*:*&amp;f.ancestorNaIds=4656010&amp;sort=naIdSort%20asc","Patent Case Files (Fairbanks, Alaska), 1915-1950")</f>
        <v>Patent Case Files (Fairbanks, Alaska), 1915-1950</v>
      </c>
      <c r="D2087" s="12"/>
      <c r="E2087" s="12"/>
      <c r="F2087" s="31" t="str">
        <f>HYPERLINK("https://familysearch.org/search/catalog/2835354","FamilySearch.org")</f>
        <v>FamilySearch.org</v>
      </c>
      <c r="G2087" s="12"/>
      <c r="H2087" s="8">
        <v>49</v>
      </c>
      <c r="I2087" s="15" t="s">
        <v>11</v>
      </c>
    </row>
    <row r="2088" spans="1:9" ht="31.2">
      <c r="A2088" s="36">
        <v>4656204</v>
      </c>
      <c r="B2088" s="8" t="s">
        <v>249</v>
      </c>
      <c r="C2088" s="34" t="s">
        <v>3233</v>
      </c>
      <c r="D2088" s="32" t="s">
        <v>220</v>
      </c>
      <c r="E2088" s="32" t="str">
        <f>HYPERLINK("https://search.ancestryinstitution.com/search/db.aspx?dbid=2238","Ancestry.com")</f>
        <v>Ancestry.com</v>
      </c>
      <c r="F2088" s="12"/>
      <c r="G2088" s="12"/>
      <c r="H2088" s="33">
        <v>147</v>
      </c>
      <c r="I2088" s="14" t="s">
        <v>15</v>
      </c>
    </row>
    <row r="2089" spans="1:9" ht="31.2">
      <c r="A2089" s="8">
        <v>4656335</v>
      </c>
      <c r="B2089" s="8" t="s">
        <v>249</v>
      </c>
      <c r="C2089" s="37" t="s">
        <v>3234</v>
      </c>
      <c r="D2089" s="12"/>
      <c r="E2089" s="12"/>
      <c r="F2089" s="31" t="str">
        <f>HYPERLINK("https://www.familysearch.org/search/catalog/2829745","FamilySearch.org")</f>
        <v>FamilySearch.org</v>
      </c>
      <c r="G2089" s="12"/>
      <c r="H2089" s="8">
        <v>36</v>
      </c>
      <c r="I2089" s="7" t="s">
        <v>15</v>
      </c>
    </row>
    <row r="2090" spans="1:9" ht="31.2">
      <c r="A2090" s="8">
        <v>4656338</v>
      </c>
      <c r="B2090" s="8" t="s">
        <v>249</v>
      </c>
      <c r="C2090" s="34" t="s">
        <v>3235</v>
      </c>
      <c r="D2090" s="12"/>
      <c r="E2090" s="12"/>
      <c r="F2090" s="31" t="str">
        <f>HYPERLINK("https://www.familysearch.org/search/catalog/2819012","FamilySearch.org")</f>
        <v>FamilySearch.org</v>
      </c>
      <c r="G2090" s="12"/>
      <c r="H2090" s="8">
        <v>26</v>
      </c>
      <c r="I2090" s="7" t="s">
        <v>11</v>
      </c>
    </row>
    <row r="2091" spans="1:9" ht="31.2">
      <c r="A2091" s="8">
        <v>4656354</v>
      </c>
      <c r="B2091" s="8" t="s">
        <v>249</v>
      </c>
      <c r="C2091" s="34" t="s">
        <v>3236</v>
      </c>
      <c r="D2091" s="12"/>
      <c r="E2091" s="12"/>
      <c r="F2091" s="31" t="str">
        <f>HYPERLINK("https://www.familysearch.org/search/catalog/2819012?availability=Family%20History%20Library","FamilySearch.org")</f>
        <v>FamilySearch.org</v>
      </c>
      <c r="G2091" s="12"/>
      <c r="H2091" s="8">
        <v>26</v>
      </c>
      <c r="I2091" s="7" t="s">
        <v>11</v>
      </c>
    </row>
    <row r="2092" spans="1:9" ht="31.2">
      <c r="A2092" s="8">
        <v>4661984</v>
      </c>
      <c r="B2092" s="8" t="s">
        <v>249</v>
      </c>
      <c r="C2092" s="37" t="s">
        <v>3237</v>
      </c>
      <c r="D2092" s="12"/>
      <c r="E2092" s="12"/>
      <c r="F2092" s="31" t="str">
        <f>HYPERLINK("https://www.familysearch.org/search/catalog/2822098","FamilySearch.org")</f>
        <v>FamilySearch.org</v>
      </c>
      <c r="G2092" s="12"/>
      <c r="H2092" s="8">
        <v>36</v>
      </c>
      <c r="I2092" s="7" t="s">
        <v>15</v>
      </c>
    </row>
    <row r="2093" spans="1:9" ht="15.6">
      <c r="A2093" s="8">
        <v>4661996</v>
      </c>
      <c r="B2093" s="8" t="s">
        <v>249</v>
      </c>
      <c r="C2093" s="34" t="s">
        <v>3238</v>
      </c>
      <c r="D2093" s="12"/>
      <c r="E2093" s="12"/>
      <c r="F2093" s="31" t="str">
        <f>HYPERLINK("https://www.familysearch.org/search/catalog/2829743","FamilySearch.org")</f>
        <v>FamilySearch.org</v>
      </c>
      <c r="G2093" s="12"/>
      <c r="H2093" s="8">
        <v>36</v>
      </c>
      <c r="I2093" s="7" t="s">
        <v>11</v>
      </c>
    </row>
    <row r="2094" spans="1:9" ht="31.2">
      <c r="A2094" s="8">
        <v>4667670</v>
      </c>
      <c r="B2094" s="8" t="s">
        <v>249</v>
      </c>
      <c r="C2094" s="37" t="s">
        <v>3239</v>
      </c>
      <c r="D2094" s="12"/>
      <c r="E2094" s="12"/>
      <c r="F2094" s="31" t="str">
        <f>HYPERLINK("https://www.familysearch.org/search/catalog/2827520","FamilySearch.org")</f>
        <v>FamilySearch.org</v>
      </c>
      <c r="G2094" s="12"/>
      <c r="H2094" s="8">
        <v>36</v>
      </c>
      <c r="I2094" s="7" t="s">
        <v>15</v>
      </c>
    </row>
    <row r="2095" spans="1:9" ht="46.8">
      <c r="A2095" s="8">
        <v>4667733</v>
      </c>
      <c r="B2095" s="8" t="s">
        <v>249</v>
      </c>
      <c r="C2095" s="35" t="s">
        <v>3240</v>
      </c>
      <c r="D2095" s="12"/>
      <c r="E2095" s="12"/>
      <c r="F2095" s="31" t="s">
        <v>43</v>
      </c>
      <c r="G2095" s="12"/>
      <c r="H2095" s="8">
        <v>36</v>
      </c>
      <c r="I2095" s="15" t="s">
        <v>11</v>
      </c>
    </row>
    <row r="2096" spans="1:9" ht="31.2">
      <c r="A2096" s="29">
        <v>4672201</v>
      </c>
      <c r="B2096" s="8" t="s">
        <v>249</v>
      </c>
      <c r="C2096" s="16" t="s">
        <v>3241</v>
      </c>
      <c r="D2096" s="12"/>
      <c r="E2096" s="12"/>
      <c r="F2096" s="32" t="s">
        <v>43</v>
      </c>
      <c r="G2096" s="12"/>
      <c r="H2096" s="33">
        <v>36</v>
      </c>
      <c r="I2096" s="14" t="s">
        <v>15</v>
      </c>
    </row>
    <row r="2097" spans="1:9" ht="15.6">
      <c r="A2097" s="29">
        <v>4684505</v>
      </c>
      <c r="B2097" s="8" t="s">
        <v>249</v>
      </c>
      <c r="C2097" s="34" t="s">
        <v>3242</v>
      </c>
      <c r="D2097" s="32" t="s">
        <v>220</v>
      </c>
      <c r="E2097" s="31" t="str">
        <f t="shared" ref="E2097:E2098" si="91">HYPERLINK("https://search.ancestryinstitution.com/search/db.aspx?dbid=2238","Ancestry.com")</f>
        <v>Ancestry.com</v>
      </c>
      <c r="F2097" s="32" t="s">
        <v>43</v>
      </c>
      <c r="G2097" s="12"/>
      <c r="H2097" s="33">
        <v>147</v>
      </c>
      <c r="I2097" s="14" t="s">
        <v>18</v>
      </c>
    </row>
    <row r="2098" spans="1:9" ht="31.2">
      <c r="A2098" s="36">
        <v>4684507</v>
      </c>
      <c r="B2098" s="8" t="s">
        <v>249</v>
      </c>
      <c r="C2098" s="37" t="s">
        <v>3243</v>
      </c>
      <c r="D2098" s="32" t="s">
        <v>220</v>
      </c>
      <c r="E2098" s="31" t="str">
        <f t="shared" si="91"/>
        <v>Ancestry.com</v>
      </c>
      <c r="F2098" s="12"/>
      <c r="G2098" s="12"/>
      <c r="H2098" s="33">
        <v>147</v>
      </c>
      <c r="I2098" s="14" t="s">
        <v>15</v>
      </c>
    </row>
    <row r="2099" spans="1:9" ht="31.2">
      <c r="A2099" s="8">
        <v>4684510</v>
      </c>
      <c r="B2099" s="8" t="s">
        <v>249</v>
      </c>
      <c r="C2099" s="54" t="s">
        <v>3244</v>
      </c>
      <c r="D2099" s="12"/>
      <c r="E2099" s="12"/>
      <c r="F2099" s="31" t="str">
        <f>HYPERLINK("https://www.familysearch.org/search/catalog/2818908","FamilySearch.org")</f>
        <v>FamilySearch.org</v>
      </c>
      <c r="G2099" s="12"/>
      <c r="H2099" s="8">
        <v>21</v>
      </c>
      <c r="I2099" s="15" t="s">
        <v>11</v>
      </c>
    </row>
    <row r="2100" spans="1:9" ht="46.8">
      <c r="A2100" s="8">
        <v>4684511</v>
      </c>
      <c r="B2100" s="8" t="s">
        <v>249</v>
      </c>
      <c r="C2100" s="54" t="s">
        <v>3245</v>
      </c>
      <c r="D2100" s="12"/>
      <c r="E2100" s="12"/>
      <c r="F2100" s="31" t="str">
        <f>HYPERLINK("https://www.familysearch.org/search/catalog/2818906","FamilySearch.org")</f>
        <v>FamilySearch.org</v>
      </c>
      <c r="G2100" s="12"/>
      <c r="H2100" s="8">
        <v>21</v>
      </c>
      <c r="I2100" s="15" t="s">
        <v>11</v>
      </c>
    </row>
    <row r="2101" spans="1:9" ht="31.2">
      <c r="A2101" s="8">
        <v>4684513</v>
      </c>
      <c r="B2101" s="8" t="s">
        <v>249</v>
      </c>
      <c r="C2101" s="54" t="s">
        <v>3246</v>
      </c>
      <c r="D2101" s="12"/>
      <c r="E2101" s="12"/>
      <c r="F2101" s="31" t="str">
        <f>HYPERLINK("https://www.familysearch.org/search/catalog/2818907","FamilySearch.org")</f>
        <v>FamilySearch.org</v>
      </c>
      <c r="G2101" s="12"/>
      <c r="H2101" s="8">
        <v>21</v>
      </c>
      <c r="I2101" s="15" t="s">
        <v>18</v>
      </c>
    </row>
    <row r="2102" spans="1:9" ht="31.2">
      <c r="A2102" s="8">
        <v>4684514</v>
      </c>
      <c r="B2102" s="8" t="s">
        <v>249</v>
      </c>
      <c r="C2102" s="54" t="s">
        <v>3247</v>
      </c>
      <c r="D2102" s="12"/>
      <c r="E2102" s="12"/>
      <c r="F2102" s="31" t="str">
        <f>HYPERLINK("https://www.familysearch.org/search/catalog/2818910","FamilySearch.org")</f>
        <v>FamilySearch.org</v>
      </c>
      <c r="G2102" s="12"/>
      <c r="H2102" s="8">
        <v>21</v>
      </c>
      <c r="I2102" s="15" t="s">
        <v>11</v>
      </c>
    </row>
    <row r="2103" spans="1:9" ht="31.2">
      <c r="A2103" s="8">
        <v>4684515</v>
      </c>
      <c r="B2103" s="8" t="s">
        <v>249</v>
      </c>
      <c r="C2103" s="54" t="str">
        <f>HYPERLINK("https://catalog.archives.gov/search?q=*:*&amp;f.ancestorNaIds=4684515&amp;sort=naIdSort%20asc","Declarations of Intention for Citizenship, Idaho (Northern (Coeur d'Alene) Division, 1912 - 1965")</f>
        <v>Declarations of Intention for Citizenship, Idaho (Northern (Coeur d'Alene) Division, 1912 - 1965</v>
      </c>
      <c r="D2103" s="12"/>
      <c r="E2103" s="12"/>
      <c r="F2103" s="31" t="str">
        <f>HYPERLINK("https://www.familysearch.org/search/catalog/2818906","FamilySearch.org")</f>
        <v>FamilySearch.org</v>
      </c>
      <c r="G2103" s="12"/>
      <c r="H2103" s="8">
        <v>21</v>
      </c>
      <c r="I2103" s="15" t="s">
        <v>18</v>
      </c>
    </row>
    <row r="2104" spans="1:9" ht="31.2">
      <c r="A2104" s="8">
        <v>4684516</v>
      </c>
      <c r="B2104" s="8" t="s">
        <v>249</v>
      </c>
      <c r="C2104" s="54" t="str">
        <f>HYPERLINK("https://catalog.archives.gov/search?q=*:*&amp;f.ancestorNaIds=4684516&amp;sort=naIdSort%20asc","Declarations of Intention for Citizenship, Idaho (Central (Moscow) Division, 1907 - 1967")</f>
        <v>Declarations of Intention for Citizenship, Idaho (Central (Moscow) Division, 1907 - 1967</v>
      </c>
      <c r="D2104" s="12"/>
      <c r="E2104" s="12"/>
      <c r="F2104" s="31" t="str">
        <f>HYPERLINK("https://www.familysearch.org/search/catalog/2818907","FamilySearch.org")</f>
        <v>FamilySearch.org</v>
      </c>
      <c r="G2104" s="12"/>
      <c r="H2104" s="8">
        <v>21</v>
      </c>
      <c r="I2104" s="15" t="s">
        <v>18</v>
      </c>
    </row>
    <row r="2105" spans="1:9" ht="31.2">
      <c r="A2105" s="8">
        <v>4688038</v>
      </c>
      <c r="B2105" s="8" t="s">
        <v>249</v>
      </c>
      <c r="C2105" s="54" t="s">
        <v>3248</v>
      </c>
      <c r="D2105" s="31" t="str">
        <f>HYPERLINK("https://www.fold3.com/title/657/","Fold3.com")</f>
        <v>Fold3.com</v>
      </c>
      <c r="E2105" s="12"/>
      <c r="F2105" s="12"/>
      <c r="G2105" s="12"/>
      <c r="H2105" s="8">
        <v>472</v>
      </c>
      <c r="I2105" s="15" t="s">
        <v>11</v>
      </c>
    </row>
    <row r="2106" spans="1:9" ht="31.2">
      <c r="A2106" s="8">
        <v>4688318</v>
      </c>
      <c r="B2106" s="8" t="s">
        <v>249</v>
      </c>
      <c r="C2106" s="35" t="s">
        <v>3249</v>
      </c>
      <c r="D2106" s="12"/>
      <c r="E2106" s="12"/>
      <c r="F2106" s="31" t="s">
        <v>43</v>
      </c>
      <c r="G2106" s="12"/>
      <c r="H2106" s="8">
        <v>36</v>
      </c>
      <c r="I2106" s="15" t="s">
        <v>11</v>
      </c>
    </row>
    <row r="2107" spans="1:9" ht="31.2">
      <c r="A2107" s="8">
        <v>4688362</v>
      </c>
      <c r="B2107" s="8" t="s">
        <v>249</v>
      </c>
      <c r="C2107" s="35" t="s">
        <v>3250</v>
      </c>
      <c r="D2107" s="12"/>
      <c r="E2107" s="12"/>
      <c r="F2107" s="31" t="s">
        <v>43</v>
      </c>
      <c r="G2107" s="12"/>
      <c r="H2107" s="8">
        <v>36</v>
      </c>
      <c r="I2107" s="15" t="s">
        <v>11</v>
      </c>
    </row>
    <row r="2108" spans="1:9" ht="31.2">
      <c r="A2108" s="8">
        <v>4688501</v>
      </c>
      <c r="B2108" s="8" t="s">
        <v>249</v>
      </c>
      <c r="C2108" s="35" t="s">
        <v>3251</v>
      </c>
      <c r="D2108" s="12"/>
      <c r="E2108" s="12"/>
      <c r="F2108" s="31" t="str">
        <f>HYPERLINK("https://www.familysearch.org/search/catalog/3303034","FamilySearch.org")</f>
        <v>FamilySearch.org</v>
      </c>
      <c r="G2108" s="12"/>
      <c r="H2108" s="8">
        <v>36</v>
      </c>
      <c r="I2108" s="15" t="s">
        <v>11</v>
      </c>
    </row>
    <row r="2109" spans="1:9" ht="31.2">
      <c r="A2109" s="36">
        <v>4693889</v>
      </c>
      <c r="B2109" s="8" t="s">
        <v>249</v>
      </c>
      <c r="C2109" s="34" t="s">
        <v>3252</v>
      </c>
      <c r="D2109" s="32" t="s">
        <v>220</v>
      </c>
      <c r="E2109" s="32" t="str">
        <f>HYPERLINK("https://search.ancestryinstitution.com/search/db.aspx?dbid=2238","Ancestry.com")</f>
        <v>Ancestry.com</v>
      </c>
      <c r="F2109" s="12"/>
      <c r="G2109" s="12"/>
      <c r="H2109" s="33">
        <v>147</v>
      </c>
      <c r="I2109" s="14" t="s">
        <v>11</v>
      </c>
    </row>
    <row r="2110" spans="1:9" ht="31.2">
      <c r="A2110" s="8">
        <v>4693891</v>
      </c>
      <c r="B2110" s="8" t="s">
        <v>249</v>
      </c>
      <c r="C2110" s="35" t="s">
        <v>3253</v>
      </c>
      <c r="D2110" s="12"/>
      <c r="E2110" s="12"/>
      <c r="F2110" s="31" t="s">
        <v>43</v>
      </c>
      <c r="G2110" s="12"/>
      <c r="H2110" s="8">
        <v>36</v>
      </c>
      <c r="I2110" s="15" t="s">
        <v>11</v>
      </c>
    </row>
    <row r="2111" spans="1:9" ht="62.4">
      <c r="A2111" s="29">
        <v>4693981</v>
      </c>
      <c r="B2111" s="8" t="s">
        <v>249</v>
      </c>
      <c r="C2111" s="35" t="s">
        <v>3254</v>
      </c>
      <c r="D2111" s="12"/>
      <c r="E2111" s="26" t="s">
        <v>14</v>
      </c>
      <c r="F2111" s="12"/>
      <c r="G2111" s="12"/>
      <c r="H2111" s="33">
        <v>21</v>
      </c>
      <c r="I2111" s="14" t="s">
        <v>11</v>
      </c>
    </row>
    <row r="2112" spans="1:9" ht="46.8">
      <c r="A2112" s="29">
        <v>4693983</v>
      </c>
      <c r="B2112" s="8" t="s">
        <v>249</v>
      </c>
      <c r="C2112" s="35" t="s">
        <v>3255</v>
      </c>
      <c r="D2112" s="12"/>
      <c r="E2112" s="26" t="s">
        <v>14</v>
      </c>
      <c r="F2112" s="12"/>
      <c r="G2112" s="12"/>
      <c r="H2112" s="33">
        <v>21</v>
      </c>
      <c r="I2112" s="14" t="s">
        <v>11</v>
      </c>
    </row>
    <row r="2113" spans="1:9" ht="46.8">
      <c r="A2113" s="29">
        <v>4693984</v>
      </c>
      <c r="B2113" s="8" t="s">
        <v>249</v>
      </c>
      <c r="C2113" s="35" t="s">
        <v>3256</v>
      </c>
      <c r="D2113" s="12"/>
      <c r="E2113" s="26" t="s">
        <v>14</v>
      </c>
      <c r="F2113" s="12"/>
      <c r="G2113" s="12"/>
      <c r="H2113" s="33">
        <v>21</v>
      </c>
      <c r="I2113" s="14" t="s">
        <v>11</v>
      </c>
    </row>
    <row r="2114" spans="1:9" ht="46.8">
      <c r="A2114" s="8">
        <v>4693987</v>
      </c>
      <c r="B2114" s="8" t="s">
        <v>249</v>
      </c>
      <c r="C2114" s="35" t="s">
        <v>3257</v>
      </c>
      <c r="D2114" s="12"/>
      <c r="E2114" s="12"/>
      <c r="F2114" s="31" t="s">
        <v>43</v>
      </c>
      <c r="G2114" s="12"/>
      <c r="H2114" s="8">
        <v>36</v>
      </c>
      <c r="I2114" s="15" t="s">
        <v>11</v>
      </c>
    </row>
    <row r="2115" spans="1:9" ht="31.2">
      <c r="A2115" s="29">
        <v>4693990</v>
      </c>
      <c r="B2115" s="8" t="s">
        <v>249</v>
      </c>
      <c r="C2115" s="35" t="s">
        <v>3258</v>
      </c>
      <c r="D2115" s="12"/>
      <c r="E2115" s="26" t="s">
        <v>14</v>
      </c>
      <c r="F2115" s="12"/>
      <c r="G2115" s="12"/>
      <c r="H2115" s="33">
        <v>21</v>
      </c>
      <c r="I2115" s="14" t="s">
        <v>11</v>
      </c>
    </row>
    <row r="2116" spans="1:9" ht="31.2">
      <c r="A2116" s="29">
        <v>4695966</v>
      </c>
      <c r="B2116" s="8" t="s">
        <v>249</v>
      </c>
      <c r="C2116" s="35" t="s">
        <v>3259</v>
      </c>
      <c r="D2116" s="12"/>
      <c r="E2116" s="26" t="s">
        <v>14</v>
      </c>
      <c r="F2116" s="12"/>
      <c r="G2116" s="12"/>
      <c r="H2116" s="33">
        <v>21</v>
      </c>
      <c r="I2116" s="14" t="s">
        <v>11</v>
      </c>
    </row>
    <row r="2117" spans="1:9" ht="46.8">
      <c r="A2117" s="29">
        <v>4695969</v>
      </c>
      <c r="B2117" s="8" t="s">
        <v>249</v>
      </c>
      <c r="C2117" s="35" t="s">
        <v>3260</v>
      </c>
      <c r="D2117" s="12"/>
      <c r="E2117" s="26" t="s">
        <v>14</v>
      </c>
      <c r="F2117" s="12"/>
      <c r="G2117" s="12"/>
      <c r="H2117" s="33">
        <v>21</v>
      </c>
      <c r="I2117" s="14" t="s">
        <v>11</v>
      </c>
    </row>
    <row r="2118" spans="1:9" ht="31.2">
      <c r="A2118" s="29">
        <v>4695971</v>
      </c>
      <c r="B2118" s="8" t="s">
        <v>249</v>
      </c>
      <c r="C2118" s="35" t="s">
        <v>3261</v>
      </c>
      <c r="D2118" s="12"/>
      <c r="E2118" s="26" t="s">
        <v>14</v>
      </c>
      <c r="F2118" s="12"/>
      <c r="G2118" s="12"/>
      <c r="H2118" s="33">
        <v>21</v>
      </c>
      <c r="I2118" s="14" t="s">
        <v>11</v>
      </c>
    </row>
    <row r="2119" spans="1:9" ht="46.8">
      <c r="A2119" s="29">
        <v>4696019</v>
      </c>
      <c r="B2119" s="8" t="s">
        <v>249</v>
      </c>
      <c r="C2119" s="35" t="s">
        <v>3262</v>
      </c>
      <c r="D2119" s="12"/>
      <c r="E2119" s="26" t="s">
        <v>14</v>
      </c>
      <c r="F2119" s="12"/>
      <c r="G2119" s="12"/>
      <c r="H2119" s="33">
        <v>21</v>
      </c>
      <c r="I2119" s="14" t="s">
        <v>11</v>
      </c>
    </row>
    <row r="2120" spans="1:9" ht="46.8">
      <c r="A2120" s="8">
        <v>4696773</v>
      </c>
      <c r="B2120" s="8" t="s">
        <v>249</v>
      </c>
      <c r="C2120" s="35" t="s">
        <v>3263</v>
      </c>
      <c r="D2120" s="12"/>
      <c r="E2120" s="12"/>
      <c r="F2120" s="31" t="s">
        <v>43</v>
      </c>
      <c r="G2120" s="12"/>
      <c r="H2120" s="8">
        <v>36</v>
      </c>
      <c r="I2120" s="15" t="s">
        <v>11</v>
      </c>
    </row>
    <row r="2121" spans="1:9" ht="46.8">
      <c r="A2121" s="8">
        <v>4696816</v>
      </c>
      <c r="B2121" s="8" t="s">
        <v>249</v>
      </c>
      <c r="C2121" s="35" t="s">
        <v>3264</v>
      </c>
      <c r="D2121" s="12"/>
      <c r="E2121" s="12"/>
      <c r="F2121" s="31" t="s">
        <v>43</v>
      </c>
      <c r="G2121" s="12"/>
      <c r="H2121" s="8">
        <v>36</v>
      </c>
      <c r="I2121" s="15" t="s">
        <v>11</v>
      </c>
    </row>
    <row r="2122" spans="1:9" ht="15.6">
      <c r="A2122" s="29">
        <v>4697018</v>
      </c>
      <c r="B2122" s="8" t="s">
        <v>249</v>
      </c>
      <c r="C2122" s="35" t="s">
        <v>3265</v>
      </c>
      <c r="D2122" s="32" t="s">
        <v>220</v>
      </c>
      <c r="E2122" s="12"/>
      <c r="F2122" s="12"/>
      <c r="G2122" s="12"/>
      <c r="H2122" s="33">
        <v>38</v>
      </c>
      <c r="I2122" s="23" t="s">
        <v>18</v>
      </c>
    </row>
    <row r="2123" spans="1:9" ht="46.8">
      <c r="A2123" s="29">
        <v>4699297</v>
      </c>
      <c r="B2123" s="8" t="s">
        <v>249</v>
      </c>
      <c r="C2123" s="35" t="s">
        <v>3266</v>
      </c>
      <c r="D2123" s="12"/>
      <c r="E2123" s="26" t="s">
        <v>14</v>
      </c>
      <c r="F2123" s="12"/>
      <c r="G2123" s="12"/>
      <c r="H2123" s="33">
        <v>21</v>
      </c>
      <c r="I2123" s="14" t="s">
        <v>11</v>
      </c>
    </row>
    <row r="2124" spans="1:9" ht="46.8">
      <c r="A2124" s="29">
        <v>4699298</v>
      </c>
      <c r="B2124" s="8" t="s">
        <v>249</v>
      </c>
      <c r="C2124" s="35" t="s">
        <v>3267</v>
      </c>
      <c r="D2124" s="12"/>
      <c r="E2124" s="26" t="s">
        <v>14</v>
      </c>
      <c r="F2124" s="12"/>
      <c r="G2124" s="12"/>
      <c r="H2124" s="33">
        <v>21</v>
      </c>
      <c r="I2124" s="14" t="s">
        <v>11</v>
      </c>
    </row>
    <row r="2125" spans="1:9" ht="46.8">
      <c r="A2125" s="29">
        <v>4699300</v>
      </c>
      <c r="B2125" s="8" t="s">
        <v>249</v>
      </c>
      <c r="C2125" s="35" t="s">
        <v>3268</v>
      </c>
      <c r="D2125" s="12"/>
      <c r="E2125" s="26" t="s">
        <v>14</v>
      </c>
      <c r="F2125" s="12"/>
      <c r="G2125" s="12"/>
      <c r="H2125" s="33">
        <v>21</v>
      </c>
      <c r="I2125" s="14" t="s">
        <v>11</v>
      </c>
    </row>
    <row r="2126" spans="1:9" ht="46.8">
      <c r="A2126" s="29">
        <v>4699301</v>
      </c>
      <c r="B2126" s="8" t="s">
        <v>249</v>
      </c>
      <c r="C2126" s="35" t="s">
        <v>3269</v>
      </c>
      <c r="D2126" s="12"/>
      <c r="E2126" s="26" t="s">
        <v>14</v>
      </c>
      <c r="F2126" s="12"/>
      <c r="G2126" s="12"/>
      <c r="H2126" s="33">
        <v>21</v>
      </c>
      <c r="I2126" s="14" t="s">
        <v>11</v>
      </c>
    </row>
    <row r="2127" spans="1:9" ht="46.8">
      <c r="A2127" s="29">
        <v>4700592</v>
      </c>
      <c r="B2127" s="8" t="s">
        <v>249</v>
      </c>
      <c r="C2127" s="16" t="s">
        <v>3270</v>
      </c>
      <c r="D2127" s="12"/>
      <c r="E2127" s="26" t="s">
        <v>14</v>
      </c>
      <c r="F2127" s="12"/>
      <c r="G2127" s="12"/>
      <c r="H2127" s="33">
        <v>21</v>
      </c>
      <c r="I2127" s="14" t="s">
        <v>15</v>
      </c>
    </row>
    <row r="2128" spans="1:9" ht="46.8">
      <c r="A2128" s="29">
        <v>4700593</v>
      </c>
      <c r="B2128" s="8" t="s">
        <v>249</v>
      </c>
      <c r="C2128" s="16" t="s">
        <v>3271</v>
      </c>
      <c r="D2128" s="12"/>
      <c r="E2128" s="26" t="s">
        <v>14</v>
      </c>
      <c r="F2128" s="12"/>
      <c r="G2128" s="12"/>
      <c r="H2128" s="33">
        <v>21</v>
      </c>
      <c r="I2128" s="14" t="s">
        <v>15</v>
      </c>
    </row>
    <row r="2129" spans="1:9" ht="46.8">
      <c r="A2129" s="29">
        <v>4700594</v>
      </c>
      <c r="B2129" s="8" t="s">
        <v>249</v>
      </c>
      <c r="C2129" s="35" t="s">
        <v>3272</v>
      </c>
      <c r="D2129" s="12"/>
      <c r="E2129" s="26" t="s">
        <v>14</v>
      </c>
      <c r="F2129" s="12"/>
      <c r="G2129" s="12"/>
      <c r="H2129" s="33">
        <v>21</v>
      </c>
      <c r="I2129" s="14" t="s">
        <v>11</v>
      </c>
    </row>
    <row r="2130" spans="1:9" ht="31.2">
      <c r="A2130" s="29">
        <v>4700604</v>
      </c>
      <c r="B2130" s="8" t="s">
        <v>249</v>
      </c>
      <c r="C2130" s="16" t="s">
        <v>3273</v>
      </c>
      <c r="D2130" s="12"/>
      <c r="E2130" s="26" t="s">
        <v>14</v>
      </c>
      <c r="F2130" s="12"/>
      <c r="G2130" s="12"/>
      <c r="H2130" s="33">
        <v>21</v>
      </c>
      <c r="I2130" s="14" t="s">
        <v>15</v>
      </c>
    </row>
    <row r="2131" spans="1:9" ht="15.6">
      <c r="A2131" s="8">
        <v>4700614</v>
      </c>
      <c r="B2131" s="8" t="s">
        <v>249</v>
      </c>
      <c r="C2131" s="54" t="str">
        <f>HYPERLINK("https://catalog.archives.gov/search?q=*:*&amp;f.ancestorNaIds=4700614&amp;sort=naIdSort%20asc","Patent Registers (Alaska), 1958-1964")</f>
        <v>Patent Registers (Alaska), 1958-1964</v>
      </c>
      <c r="D2131" s="12"/>
      <c r="E2131" s="12"/>
      <c r="F2131" s="31" t="str">
        <f t="shared" ref="F2131:F2132" si="92">HYPERLINK("https://familysearch.org/search/catalog/2835353","FamilySearch.org")</f>
        <v>FamilySearch.org</v>
      </c>
      <c r="G2131" s="12"/>
      <c r="H2131" s="8">
        <v>49</v>
      </c>
      <c r="I2131" s="15" t="s">
        <v>11</v>
      </c>
    </row>
    <row r="2132" spans="1:9" ht="31.2">
      <c r="A2132" s="8">
        <v>4700627</v>
      </c>
      <c r="B2132" s="8" t="s">
        <v>249</v>
      </c>
      <c r="C2132" s="54" t="str">
        <f>HYPERLINK("https://catalog.archives.gov/search?q=*:*&amp;f.ancestorNaIds=4700627&amp;sort=naIdSort%20asc","Homestead Relinquishments (Juneau and Anchorage, Alaska), 1916-1931")</f>
        <v>Homestead Relinquishments (Juneau and Anchorage, Alaska), 1916-1931</v>
      </c>
      <c r="D2132" s="12"/>
      <c r="E2132" s="12"/>
      <c r="F2132" s="31" t="str">
        <f t="shared" si="92"/>
        <v>FamilySearch.org</v>
      </c>
      <c r="G2132" s="12"/>
      <c r="H2132" s="8">
        <v>49</v>
      </c>
      <c r="I2132" s="15" t="s">
        <v>11</v>
      </c>
    </row>
    <row r="2133" spans="1:9" ht="46.8">
      <c r="A2133" s="29">
        <v>4701049</v>
      </c>
      <c r="B2133" s="8" t="s">
        <v>249</v>
      </c>
      <c r="C2133" s="16" t="s">
        <v>3274</v>
      </c>
      <c r="D2133" s="12"/>
      <c r="E2133" s="26" t="s">
        <v>14</v>
      </c>
      <c r="F2133" s="12"/>
      <c r="G2133" s="12"/>
      <c r="H2133" s="33">
        <v>21</v>
      </c>
      <c r="I2133" s="14" t="s">
        <v>15</v>
      </c>
    </row>
    <row r="2134" spans="1:9" ht="46.8">
      <c r="A2134" s="29">
        <v>4701121</v>
      </c>
      <c r="B2134" s="8" t="s">
        <v>249</v>
      </c>
      <c r="C2134" s="16" t="s">
        <v>3275</v>
      </c>
      <c r="D2134" s="12"/>
      <c r="E2134" s="26" t="s">
        <v>14</v>
      </c>
      <c r="F2134" s="12"/>
      <c r="G2134" s="12"/>
      <c r="H2134" s="33">
        <v>21</v>
      </c>
      <c r="I2134" s="14" t="s">
        <v>15</v>
      </c>
    </row>
    <row r="2135" spans="1:9" ht="46.8">
      <c r="A2135" s="29">
        <v>4701123</v>
      </c>
      <c r="B2135" s="8" t="s">
        <v>249</v>
      </c>
      <c r="C2135" s="16" t="s">
        <v>3276</v>
      </c>
      <c r="D2135" s="12"/>
      <c r="E2135" s="26" t="s">
        <v>14</v>
      </c>
      <c r="F2135" s="12"/>
      <c r="G2135" s="12"/>
      <c r="H2135" s="33">
        <v>21</v>
      </c>
      <c r="I2135" s="14" t="s">
        <v>15</v>
      </c>
    </row>
    <row r="2136" spans="1:9" ht="46.8">
      <c r="A2136" s="29">
        <v>4705568</v>
      </c>
      <c r="B2136" s="8" t="s">
        <v>249</v>
      </c>
      <c r="C2136" s="16" t="s">
        <v>3277</v>
      </c>
      <c r="D2136" s="12"/>
      <c r="E2136" s="26" t="s">
        <v>14</v>
      </c>
      <c r="F2136" s="12"/>
      <c r="G2136" s="12"/>
      <c r="H2136" s="33">
        <v>21</v>
      </c>
      <c r="I2136" s="14" t="s">
        <v>15</v>
      </c>
    </row>
    <row r="2137" spans="1:9" ht="31.2">
      <c r="A2137" s="8">
        <v>4705673</v>
      </c>
      <c r="B2137" s="8" t="s">
        <v>249</v>
      </c>
      <c r="C2137" s="37" t="s">
        <v>3278</v>
      </c>
      <c r="D2137" s="12"/>
      <c r="E2137" s="12"/>
      <c r="F2137" s="12"/>
      <c r="G2137" s="78" t="s">
        <v>2505</v>
      </c>
      <c r="H2137" s="8">
        <v>21</v>
      </c>
      <c r="I2137" s="14" t="s">
        <v>15</v>
      </c>
    </row>
    <row r="2138" spans="1:9" ht="46.8">
      <c r="A2138" s="29">
        <v>4706550</v>
      </c>
      <c r="B2138" s="8" t="s">
        <v>249</v>
      </c>
      <c r="C2138" s="35" t="s">
        <v>3279</v>
      </c>
      <c r="D2138" s="12"/>
      <c r="E2138" s="26" t="s">
        <v>14</v>
      </c>
      <c r="F2138" s="12"/>
      <c r="G2138" s="12"/>
      <c r="H2138" s="33">
        <v>21</v>
      </c>
      <c r="I2138" s="14" t="s">
        <v>11</v>
      </c>
    </row>
    <row r="2139" spans="1:9" ht="46.8">
      <c r="A2139" s="29">
        <v>4706555</v>
      </c>
      <c r="B2139" s="8" t="s">
        <v>249</v>
      </c>
      <c r="C2139" s="35" t="s">
        <v>3280</v>
      </c>
      <c r="D2139" s="12"/>
      <c r="E2139" s="26" t="s">
        <v>14</v>
      </c>
      <c r="F2139" s="12"/>
      <c r="G2139" s="12"/>
      <c r="H2139" s="33">
        <v>21</v>
      </c>
      <c r="I2139" s="14" t="s">
        <v>18</v>
      </c>
    </row>
    <row r="2140" spans="1:9" ht="46.8">
      <c r="A2140" s="29">
        <v>4706896</v>
      </c>
      <c r="B2140" s="8" t="s">
        <v>249</v>
      </c>
      <c r="C2140" s="35" t="s">
        <v>3281</v>
      </c>
      <c r="D2140" s="12"/>
      <c r="E2140" s="26" t="s">
        <v>14</v>
      </c>
      <c r="F2140" s="12"/>
      <c r="G2140" s="12"/>
      <c r="H2140" s="33">
        <v>21</v>
      </c>
      <c r="I2140" s="14" t="s">
        <v>11</v>
      </c>
    </row>
    <row r="2141" spans="1:9" ht="62.4">
      <c r="A2141" s="29">
        <v>4706899</v>
      </c>
      <c r="B2141" s="8" t="s">
        <v>249</v>
      </c>
      <c r="C2141" s="16" t="s">
        <v>3282</v>
      </c>
      <c r="D2141" s="12"/>
      <c r="E2141" s="26" t="s">
        <v>14</v>
      </c>
      <c r="F2141" s="12"/>
      <c r="G2141" s="12"/>
      <c r="H2141" s="33">
        <v>21</v>
      </c>
      <c r="I2141" s="14" t="s">
        <v>15</v>
      </c>
    </row>
    <row r="2142" spans="1:9" ht="46.8">
      <c r="A2142" s="29">
        <v>4706961</v>
      </c>
      <c r="B2142" s="8" t="s">
        <v>249</v>
      </c>
      <c r="C2142" s="16" t="s">
        <v>3283</v>
      </c>
      <c r="D2142" s="12"/>
      <c r="E2142" s="26" t="s">
        <v>14</v>
      </c>
      <c r="F2142" s="12"/>
      <c r="G2142" s="12"/>
      <c r="H2142" s="33">
        <v>21</v>
      </c>
      <c r="I2142" s="14" t="s">
        <v>15</v>
      </c>
    </row>
    <row r="2143" spans="1:9" ht="31.2">
      <c r="A2143" s="8">
        <v>4707087</v>
      </c>
      <c r="B2143" s="8" t="s">
        <v>249</v>
      </c>
      <c r="C2143" s="34" t="s">
        <v>3284</v>
      </c>
      <c r="D2143" s="12"/>
      <c r="E2143" s="12"/>
      <c r="F2143" s="31" t="str">
        <f>HYPERLINK("https://www.familysearch.org/search/catalog/2300674","FamilySearch.org")</f>
        <v>FamilySearch.org</v>
      </c>
      <c r="G2143" s="12"/>
      <c r="H2143" s="8">
        <v>36</v>
      </c>
      <c r="I2143" s="7" t="s">
        <v>11</v>
      </c>
    </row>
    <row r="2144" spans="1:9" ht="31.2">
      <c r="A2144" s="8">
        <v>4709018</v>
      </c>
      <c r="B2144" s="8" t="s">
        <v>249</v>
      </c>
      <c r="C2144" s="35" t="s">
        <v>3285</v>
      </c>
      <c r="D2144" s="12"/>
      <c r="E2144" s="12"/>
      <c r="F2144" s="31" t="s">
        <v>43</v>
      </c>
      <c r="G2144" s="12"/>
      <c r="H2144" s="8">
        <v>36</v>
      </c>
      <c r="I2144" s="15" t="s">
        <v>11</v>
      </c>
    </row>
    <row r="2145" spans="1:9" ht="31.2">
      <c r="A2145" s="8">
        <v>4713717</v>
      </c>
      <c r="B2145" s="8" t="s">
        <v>249</v>
      </c>
      <c r="C2145" s="34" t="s">
        <v>3286</v>
      </c>
      <c r="D2145" s="12"/>
      <c r="E2145" s="12"/>
      <c r="F2145" s="31" t="str">
        <f>HYPERLINK("https://www.familysearch.org/search/catalog/2822099","FamilySearch.org")</f>
        <v>FamilySearch.org</v>
      </c>
      <c r="G2145" s="12"/>
      <c r="H2145" s="8">
        <v>26</v>
      </c>
      <c r="I2145" s="7" t="s">
        <v>11</v>
      </c>
    </row>
    <row r="2146" spans="1:9" ht="31.2">
      <c r="A2146" s="8">
        <v>4719444</v>
      </c>
      <c r="B2146" s="8" t="s">
        <v>249</v>
      </c>
      <c r="C2146" s="34" t="s">
        <v>3287</v>
      </c>
      <c r="D2146" s="12"/>
      <c r="E2146" s="12"/>
      <c r="F2146" s="31" t="str">
        <f t="shared" ref="F2146:F2147" si="93">HYPERLINK("https://www.familysearch.org/search/catalog/2842916","FamilySearch.org")</f>
        <v>FamilySearch.org</v>
      </c>
      <c r="G2146" s="12"/>
      <c r="H2146" s="8">
        <v>36</v>
      </c>
      <c r="I2146" s="7" t="s">
        <v>11</v>
      </c>
    </row>
    <row r="2147" spans="1:9" ht="31.2">
      <c r="A2147" s="8">
        <v>4719564</v>
      </c>
      <c r="B2147" s="8" t="s">
        <v>249</v>
      </c>
      <c r="C2147" s="34" t="s">
        <v>3288</v>
      </c>
      <c r="D2147" s="12"/>
      <c r="E2147" s="12"/>
      <c r="F2147" s="31" t="str">
        <f t="shared" si="93"/>
        <v>FamilySearch.org</v>
      </c>
      <c r="G2147" s="12"/>
      <c r="H2147" s="8">
        <v>36</v>
      </c>
      <c r="I2147" s="7" t="s">
        <v>11</v>
      </c>
    </row>
    <row r="2148" spans="1:9" ht="15.6">
      <c r="A2148" s="8">
        <v>4719597</v>
      </c>
      <c r="B2148" s="8" t="s">
        <v>249</v>
      </c>
      <c r="C2148" s="54" t="s">
        <v>3289</v>
      </c>
      <c r="D2148" s="31" t="str">
        <f t="shared" ref="D2148:D2149" si="94">HYPERLINK("https://www.fold3.com/title/657/","Fold3.com")</f>
        <v>Fold3.com</v>
      </c>
      <c r="E2148" s="12"/>
      <c r="F2148" s="12"/>
      <c r="G2148" s="12"/>
      <c r="H2148" s="8">
        <v>472</v>
      </c>
      <c r="I2148" s="15" t="s">
        <v>11</v>
      </c>
    </row>
    <row r="2149" spans="1:9" ht="15.6">
      <c r="A2149" s="8">
        <v>4726287</v>
      </c>
      <c r="B2149" s="8" t="s">
        <v>249</v>
      </c>
      <c r="C2149" s="54" t="s">
        <v>3290</v>
      </c>
      <c r="D2149" s="31" t="str">
        <f t="shared" si="94"/>
        <v>Fold3.com</v>
      </c>
      <c r="E2149" s="12"/>
      <c r="F2149" s="12"/>
      <c r="G2149" s="12"/>
      <c r="H2149" s="8">
        <v>472</v>
      </c>
      <c r="I2149" s="15" t="s">
        <v>11</v>
      </c>
    </row>
    <row r="2150" spans="1:9" ht="31.2">
      <c r="A2150" s="8">
        <v>4728317</v>
      </c>
      <c r="B2150" s="8" t="s">
        <v>249</v>
      </c>
      <c r="C2150" s="34" t="s">
        <v>3291</v>
      </c>
      <c r="D2150" s="12"/>
      <c r="E2150" s="12"/>
      <c r="F2150" s="31" t="str">
        <f t="shared" ref="F2150:F2151" si="95">HYPERLINK("https://www.familysearch.org/search/catalog/2822372","FamilySearch.org")</f>
        <v>FamilySearch.org</v>
      </c>
      <c r="G2150" s="12"/>
      <c r="H2150" s="8">
        <v>36</v>
      </c>
      <c r="I2150" s="7" t="s">
        <v>11</v>
      </c>
    </row>
    <row r="2151" spans="1:9" ht="31.2">
      <c r="A2151" s="8">
        <v>4728319</v>
      </c>
      <c r="B2151" s="8" t="s">
        <v>249</v>
      </c>
      <c r="C2151" s="34" t="s">
        <v>3292</v>
      </c>
      <c r="D2151" s="12"/>
      <c r="E2151" s="12"/>
      <c r="F2151" s="31" t="str">
        <f t="shared" si="95"/>
        <v>FamilySearch.org</v>
      </c>
      <c r="G2151" s="12"/>
      <c r="H2151" s="8">
        <v>36</v>
      </c>
      <c r="I2151" s="7" t="s">
        <v>11</v>
      </c>
    </row>
    <row r="2152" spans="1:9" ht="31.2">
      <c r="A2152" s="8">
        <v>4732064</v>
      </c>
      <c r="B2152" s="8" t="s">
        <v>249</v>
      </c>
      <c r="C2152" s="34" t="s">
        <v>3293</v>
      </c>
      <c r="D2152" s="12"/>
      <c r="E2152" s="12"/>
      <c r="F2152" s="31" t="str">
        <f>HYPERLINK("https://www.familysearch.org/search/catalog/2819010","FamilySearch.org")</f>
        <v>FamilySearch.org</v>
      </c>
      <c r="G2152" s="12"/>
      <c r="H2152" s="8">
        <v>36</v>
      </c>
      <c r="I2152" s="7" t="s">
        <v>11</v>
      </c>
    </row>
    <row r="2153" spans="1:9" ht="46.8">
      <c r="A2153" s="29">
        <v>4752894</v>
      </c>
      <c r="B2153" s="8" t="s">
        <v>249</v>
      </c>
      <c r="C2153" s="16" t="s">
        <v>3294</v>
      </c>
      <c r="D2153" s="12"/>
      <c r="E2153" s="12"/>
      <c r="F2153" s="32" t="s">
        <v>43</v>
      </c>
      <c r="G2153" s="12"/>
      <c r="H2153" s="33">
        <v>85</v>
      </c>
      <c r="I2153" s="14" t="s">
        <v>15</v>
      </c>
    </row>
    <row r="2154" spans="1:9" ht="31.2">
      <c r="A2154" s="8">
        <v>4757909</v>
      </c>
      <c r="B2154" s="8" t="s">
        <v>249</v>
      </c>
      <c r="C2154" s="54" t="str">
        <f>HYPERLINK("https://catalog.archives.gov/search?q=*:*&amp;f.ancestorNaIds=4757909&amp;sort=naIdSort%20asc","Aliens' Declarations of Intention to Become Citizens at Hartford, Connecticute, 1906-1911")</f>
        <v>Aliens' Declarations of Intention to Become Citizens at Hartford, Connecticute, 1906-1911</v>
      </c>
      <c r="D2154" s="12"/>
      <c r="E2154" s="12"/>
      <c r="F2154" s="31" t="str">
        <f>HYPERLINK("https://www.familysearch.org/search/catalog/1446493","FamilySearch.org")</f>
        <v>FamilySearch.org</v>
      </c>
      <c r="G2154" s="12"/>
      <c r="H2154" s="8">
        <v>21</v>
      </c>
      <c r="I2154" s="15" t="s">
        <v>11</v>
      </c>
    </row>
    <row r="2155" spans="1:9" ht="31.2">
      <c r="A2155" s="8">
        <v>4796024</v>
      </c>
      <c r="B2155" s="8" t="s">
        <v>249</v>
      </c>
      <c r="C2155" s="34" t="s">
        <v>3295</v>
      </c>
      <c r="D2155" s="12"/>
      <c r="E2155" s="12"/>
      <c r="F2155" s="31" t="str">
        <f>HYPERLINK("https://www.familysearch.org/search/catalog/2819011","FamilySearch.org")</f>
        <v>FamilySearch.org</v>
      </c>
      <c r="G2155" s="12"/>
      <c r="H2155" s="8">
        <v>26</v>
      </c>
      <c r="I2155" s="7" t="s">
        <v>11</v>
      </c>
    </row>
    <row r="2156" spans="1:9" ht="31.2">
      <c r="A2156" s="8">
        <v>4835082</v>
      </c>
      <c r="B2156" s="8" t="s">
        <v>249</v>
      </c>
      <c r="C2156" s="34" t="s">
        <v>3296</v>
      </c>
      <c r="D2156" s="12"/>
      <c r="E2156" s="12"/>
      <c r="F2156" s="31" t="str">
        <f>HYPERLINK("https://www.familysearch.org/search/catalog/2819011?availability=Family%20History%20Library","FamilySearch.org")</f>
        <v>FamilySearch.org</v>
      </c>
      <c r="G2156" s="12"/>
      <c r="H2156" s="8">
        <v>26</v>
      </c>
      <c r="I2156" s="7" t="s">
        <v>11</v>
      </c>
    </row>
    <row r="2157" spans="1:9" ht="31.2">
      <c r="A2157" s="8">
        <v>4955027</v>
      </c>
      <c r="B2157" s="8" t="s">
        <v>249</v>
      </c>
      <c r="C2157" s="37" t="s">
        <v>3297</v>
      </c>
      <c r="D2157" s="12"/>
      <c r="E2157" s="12"/>
      <c r="F2157" s="31" t="str">
        <f t="shared" ref="F2157:F2158" si="96">HYPERLINK("https://www.familysearch.org/search/catalog/2785364","FamilySearch.org")</f>
        <v>FamilySearch.org</v>
      </c>
      <c r="G2157" s="12"/>
      <c r="H2157" s="8">
        <v>21</v>
      </c>
      <c r="I2157" s="7" t="s">
        <v>15</v>
      </c>
    </row>
    <row r="2158" spans="1:9" ht="31.2">
      <c r="A2158" s="8">
        <v>4955444</v>
      </c>
      <c r="B2158" s="8" t="s">
        <v>249</v>
      </c>
      <c r="C2158" s="37" t="s">
        <v>3298</v>
      </c>
      <c r="D2158" s="12"/>
      <c r="E2158" s="12"/>
      <c r="F2158" s="31" t="str">
        <f t="shared" si="96"/>
        <v>FamilySearch.org</v>
      </c>
      <c r="G2158" s="12"/>
      <c r="H2158" s="8">
        <v>21</v>
      </c>
      <c r="I2158" s="7" t="s">
        <v>15</v>
      </c>
    </row>
    <row r="2159" spans="1:9" ht="31.2">
      <c r="A2159" s="8">
        <v>4956737</v>
      </c>
      <c r="B2159" s="8" t="s">
        <v>249</v>
      </c>
      <c r="C2159" s="37" t="s">
        <v>3299</v>
      </c>
      <c r="D2159" s="12"/>
      <c r="E2159" s="12"/>
      <c r="F2159" s="31" t="str">
        <f>HYPERLINK("https://www.familysearch.org/search/catalog/2785365","FamilySearch.org")</f>
        <v>FamilySearch.org</v>
      </c>
      <c r="G2159" s="12"/>
      <c r="H2159" s="8">
        <v>21</v>
      </c>
      <c r="I2159" s="7" t="s">
        <v>15</v>
      </c>
    </row>
    <row r="2160" spans="1:9" ht="46.8">
      <c r="A2160" s="8">
        <v>4971824</v>
      </c>
      <c r="B2160" s="8" t="s">
        <v>249</v>
      </c>
      <c r="C2160" s="54" t="str">
        <f>HYPERLINK("https://catalog.archives.gov/search?q=*:*&amp;f.ancestorNaIds=4971824&amp;sort=naIdSort%20asc","Copies of Aliens' Declarations of Intention to Become Citizens at New Haven, Connecticut, 1893-1906")</f>
        <v>Copies of Aliens' Declarations of Intention to Become Citizens at New Haven, Connecticut, 1893-1906</v>
      </c>
      <c r="D2160" s="12"/>
      <c r="E2160" s="12"/>
      <c r="F2160" s="31" t="str">
        <f>HYPERLINK("https://www.familysearch.org/search/catalog/1409121","FamilySearch.org")</f>
        <v>FamilySearch.org</v>
      </c>
      <c r="G2160" s="12"/>
      <c r="H2160" s="8">
        <v>21</v>
      </c>
      <c r="I2160" s="15" t="s">
        <v>11</v>
      </c>
    </row>
    <row r="2161" spans="1:9" ht="31.2">
      <c r="A2161" s="8">
        <v>5019134</v>
      </c>
      <c r="B2161" s="8" t="s">
        <v>249</v>
      </c>
      <c r="C2161" s="34" t="s">
        <v>3300</v>
      </c>
      <c r="D2161" s="12"/>
      <c r="E2161" s="12"/>
      <c r="F2161" s="31" t="str">
        <f>HYPERLINK("https://www.familysearch.org/search/catalog/2299595","FamilySearch.org")</f>
        <v>FamilySearch.org</v>
      </c>
      <c r="G2161" s="12"/>
      <c r="H2161" s="8">
        <v>36</v>
      </c>
      <c r="I2161" s="7" t="s">
        <v>11</v>
      </c>
    </row>
    <row r="2162" spans="1:9" ht="31.2">
      <c r="A2162" s="8">
        <v>5020029</v>
      </c>
      <c r="B2162" s="8" t="s">
        <v>249</v>
      </c>
      <c r="C2162" s="54" t="str">
        <f>HYPERLINK("https://catalog.archives.gov/search?q=*:*&amp;f.ancestorNaIds=5020029&amp;sort=naIdSort%20asc","Master's Oaths for Renewal of License of Vessel (Ketchikan, Alaska), 1917-1939")</f>
        <v>Master's Oaths for Renewal of License of Vessel (Ketchikan, Alaska), 1917-1939</v>
      </c>
      <c r="D2162" s="12"/>
      <c r="E2162" s="12"/>
      <c r="F2162" s="31" t="str">
        <f>HYPERLINK("https://familysearch.org/search/catalog/2835360","FamilySearch.org")</f>
        <v>FamilySearch.org</v>
      </c>
      <c r="G2162" s="12"/>
      <c r="H2162" s="8">
        <v>36</v>
      </c>
      <c r="I2162" s="15" t="s">
        <v>18</v>
      </c>
    </row>
    <row r="2163" spans="1:9" ht="46.8">
      <c r="A2163" s="29">
        <v>5020052</v>
      </c>
      <c r="B2163" s="8" t="s">
        <v>249</v>
      </c>
      <c r="C2163" s="35" t="s">
        <v>3301</v>
      </c>
      <c r="D2163" s="12"/>
      <c r="E2163" s="26" t="s">
        <v>14</v>
      </c>
      <c r="F2163" s="12"/>
      <c r="G2163" s="12"/>
      <c r="H2163" s="33">
        <v>21</v>
      </c>
      <c r="I2163" s="14" t="s">
        <v>11</v>
      </c>
    </row>
    <row r="2164" spans="1:9" ht="31.2">
      <c r="A2164" s="8">
        <v>5024047</v>
      </c>
      <c r="B2164" s="8" t="s">
        <v>249</v>
      </c>
      <c r="C2164" s="54" t="str">
        <f>HYPERLINK("https://catalog.archives.gov/search?q=*:*&amp;f.ancestorNaIds=5024047&amp;sort=naIdSort%20asc","Master's Oaths for Renewal of License of Vessel (Petersburg, Alaska), 1922 - 1940")</f>
        <v>Master's Oaths for Renewal of License of Vessel (Petersburg, Alaska), 1922 - 1940</v>
      </c>
      <c r="D2164" s="12"/>
      <c r="E2164" s="12"/>
      <c r="F2164" s="31" t="str">
        <f>HYPERLINK("https://www.familysearch.org/search/catalog/2835359","FamilySearch.org")</f>
        <v>FamilySearch.org</v>
      </c>
      <c r="G2164" s="12"/>
      <c r="H2164" s="8">
        <v>36</v>
      </c>
      <c r="I2164" s="15" t="s">
        <v>11</v>
      </c>
    </row>
    <row r="2165" spans="1:9" ht="31.2">
      <c r="A2165" s="29">
        <v>5049445</v>
      </c>
      <c r="B2165" s="8" t="s">
        <v>249</v>
      </c>
      <c r="C2165" s="16" t="s">
        <v>3302</v>
      </c>
      <c r="D2165" s="12"/>
      <c r="E2165" s="12"/>
      <c r="F2165" s="32" t="s">
        <v>43</v>
      </c>
      <c r="G2165" s="12"/>
      <c r="H2165" s="33">
        <v>21</v>
      </c>
      <c r="I2165" s="14" t="s">
        <v>15</v>
      </c>
    </row>
    <row r="2166" spans="1:9" ht="31.2">
      <c r="A2166" s="36">
        <v>5324575</v>
      </c>
      <c r="B2166" s="8" t="s">
        <v>249</v>
      </c>
      <c r="C2166" s="37" t="s">
        <v>3303</v>
      </c>
      <c r="D2166" s="32" t="s">
        <v>220</v>
      </c>
      <c r="E2166" s="26" t="s">
        <v>14</v>
      </c>
      <c r="F2166" s="12"/>
      <c r="G2166" s="12"/>
      <c r="H2166" s="33">
        <v>147</v>
      </c>
      <c r="I2166" s="14" t="s">
        <v>15</v>
      </c>
    </row>
    <row r="2167" spans="1:9" ht="15.6">
      <c r="A2167" s="8">
        <v>5404594</v>
      </c>
      <c r="B2167" s="8" t="s">
        <v>249</v>
      </c>
      <c r="C2167" s="54" t="str">
        <f>HYPERLINK("https://catalog.archives.gov/search?q=*:*&amp;f.ancestorNaIds=5404594&amp;sort=naIdSort%20asc","Alaska Townsite Deed Books, 1906-1975")</f>
        <v>Alaska Townsite Deed Books, 1906-1975</v>
      </c>
      <c r="D2167" s="12"/>
      <c r="E2167" s="12"/>
      <c r="F2167" s="31" t="str">
        <f>HYPERLINK("https://familysearch.org/search/catalog/2835348","FamilySearch.org")</f>
        <v>FamilySearch.org</v>
      </c>
      <c r="G2167" s="12"/>
      <c r="H2167" s="8">
        <v>49</v>
      </c>
      <c r="I2167" s="15" t="s">
        <v>11</v>
      </c>
    </row>
    <row r="2168" spans="1:9" ht="31.2">
      <c r="A2168" s="8">
        <v>5413733</v>
      </c>
      <c r="B2168" s="8" t="s">
        <v>249</v>
      </c>
      <c r="C2168" s="54" t="str">
        <f>HYPERLINK("https://catalog.archives.gov/search?q=*:*&amp;f.ancestorNaIds=5413733&amp;sort=naIdSort%20asc","Oaths or Affirmations of New Masters (Ketchikan, Alaska), 1899 - 1957")</f>
        <v>Oaths or Affirmations of New Masters (Ketchikan, Alaska), 1899 - 1957</v>
      </c>
      <c r="D2168" s="12"/>
      <c r="E2168" s="12"/>
      <c r="F2168" s="31" t="str">
        <f>HYPERLINK("https://www.familysearch.org/search/catalog/2835360","FamilySearch.org")</f>
        <v>FamilySearch.org</v>
      </c>
      <c r="G2168" s="12"/>
      <c r="H2168" s="8">
        <v>36</v>
      </c>
      <c r="I2168" s="15" t="s">
        <v>18</v>
      </c>
    </row>
    <row r="2169" spans="1:9" ht="31.2">
      <c r="A2169" s="8">
        <v>5413733</v>
      </c>
      <c r="B2169" s="8" t="s">
        <v>249</v>
      </c>
      <c r="C2169" s="54" t="str">
        <f>HYPERLINK("https://catalog.archives.gov/search?q=*:*&amp;f.ancestorNaIds=5413733&amp;sort=naIdSort%20asc","Oaths or Affirmations of New Masters (Cordova, Alaska), 1899 - 1957")</f>
        <v>Oaths or Affirmations of New Masters (Cordova, Alaska), 1899 - 1957</v>
      </c>
      <c r="D2169" s="12"/>
      <c r="E2169" s="12"/>
      <c r="F2169" s="31" t="str">
        <f>HYPERLINK("https://www.familysearch.org/search/catalog/2835358","FamilySearch.org")</f>
        <v>FamilySearch.org</v>
      </c>
      <c r="G2169" s="12"/>
      <c r="H2169" s="8">
        <v>36</v>
      </c>
      <c r="I2169" s="15" t="s">
        <v>18</v>
      </c>
    </row>
    <row r="2170" spans="1:9" ht="31.2">
      <c r="A2170" s="8">
        <v>5413733</v>
      </c>
      <c r="B2170" s="8" t="s">
        <v>249</v>
      </c>
      <c r="C2170" s="54" t="str">
        <f>HYPERLINK("https://catalog.archives.gov/search?q=*:*&amp;f.ancestorNaIds=5413733&amp;sort=naIdSort%20asc","Oaths or Affirmations of New Masters (Juneau, Alaska), 1899 - 1957")</f>
        <v>Oaths or Affirmations of New Masters (Juneau, Alaska), 1899 - 1957</v>
      </c>
      <c r="D2170" s="12"/>
      <c r="E2170" s="12"/>
      <c r="F2170" s="31" t="str">
        <f>HYPERLINK("https://www.familysearch.org/search/catalog/2835357","FamilySearch.org")</f>
        <v>FamilySearch.org</v>
      </c>
      <c r="G2170" s="12"/>
      <c r="H2170" s="8">
        <v>36</v>
      </c>
      <c r="I2170" s="15" t="s">
        <v>18</v>
      </c>
    </row>
    <row r="2171" spans="1:9" ht="15.6">
      <c r="A2171" s="8">
        <v>5509900</v>
      </c>
      <c r="B2171" s="8" t="s">
        <v>249</v>
      </c>
      <c r="C2171" s="54" t="str">
        <f>HYPERLINK("https://catalog.archives.gov/search?q=*:*&amp;f.ancestorNaIds=5509900&amp;sort=naIdSort%20asc","Townsite Tract Books, 1906 - 1962")</f>
        <v>Townsite Tract Books, 1906 - 1962</v>
      </c>
      <c r="D2171" s="12"/>
      <c r="E2171" s="12"/>
      <c r="F2171" s="31" t="str">
        <f>HYPERLINK("https://www.familysearch.org/search/catalog/2835353","FamilySearch.org")</f>
        <v>FamilySearch.org</v>
      </c>
      <c r="G2171" s="12"/>
      <c r="H2171" s="8">
        <v>36</v>
      </c>
      <c r="I2171" s="15" t="s">
        <v>11</v>
      </c>
    </row>
    <row r="2172" spans="1:9" ht="31.2">
      <c r="A2172" s="29">
        <v>5557837</v>
      </c>
      <c r="B2172" s="8" t="s">
        <v>249</v>
      </c>
      <c r="C2172" s="35" t="s">
        <v>3304</v>
      </c>
      <c r="D2172" s="12"/>
      <c r="E2172" s="26" t="s">
        <v>14</v>
      </c>
      <c r="F2172" s="12"/>
      <c r="G2172" s="12"/>
      <c r="H2172" s="33">
        <v>147</v>
      </c>
      <c r="I2172" s="23" t="s">
        <v>18</v>
      </c>
    </row>
    <row r="2173" spans="1:9" ht="46.8">
      <c r="A2173" s="29">
        <v>5557893</v>
      </c>
      <c r="B2173" s="8" t="s">
        <v>249</v>
      </c>
      <c r="C2173" s="16" t="s">
        <v>3305</v>
      </c>
      <c r="D2173" s="12"/>
      <c r="E2173" s="26" t="s">
        <v>14</v>
      </c>
      <c r="F2173" s="12"/>
      <c r="G2173" s="12"/>
      <c r="H2173" s="33">
        <v>21</v>
      </c>
      <c r="I2173" s="14" t="s">
        <v>15</v>
      </c>
    </row>
    <row r="2174" spans="1:9" ht="31.2">
      <c r="A2174" s="8">
        <v>5557921</v>
      </c>
      <c r="B2174" s="8" t="s">
        <v>249</v>
      </c>
      <c r="C2174" s="54" t="str">
        <f>HYPERLINK("https://catalog.archives.gov/search?q=*:*&amp;f.ancestorNaIds=5557921&amp;sort=naIdSort%20asc","Land Office Register Books (St. Michael, Alaska), 1898-1902")</f>
        <v>Land Office Register Books (St. Michael, Alaska), 1898-1902</v>
      </c>
      <c r="D2174" s="12"/>
      <c r="E2174" s="12"/>
      <c r="F2174" s="31" t="str">
        <f>HYPERLINK("https://www.familysearch.org/search/catalog/2835351","FamilySearch.org")</f>
        <v>FamilySearch.org</v>
      </c>
      <c r="G2174" s="12"/>
      <c r="H2174" s="8">
        <v>49</v>
      </c>
      <c r="I2174" s="15" t="s">
        <v>11</v>
      </c>
    </row>
    <row r="2175" spans="1:9" ht="31.2">
      <c r="A2175" s="8">
        <v>5558239</v>
      </c>
      <c r="B2175" s="8" t="s">
        <v>249</v>
      </c>
      <c r="C2175" s="54" t="str">
        <f>HYPERLINK("https://catalog.archives.gov/search?q=*:*&amp;f.ancestorNaIds=5558239&amp;sort=naIdSort%20asc","Land Office Register Books (Juneau, Alaska), 1902-1919")</f>
        <v>Land Office Register Books (Juneau, Alaska), 1902-1919</v>
      </c>
      <c r="D2175" s="12"/>
      <c r="E2175" s="12"/>
      <c r="F2175" s="31" t="str">
        <f>HYPERLINK("https://www.familysearch.org/search/catalog/2835350","FamilySearch.org")</f>
        <v>FamilySearch.org</v>
      </c>
      <c r="G2175" s="12"/>
      <c r="H2175" s="8">
        <v>49</v>
      </c>
      <c r="I2175" s="15" t="s">
        <v>11</v>
      </c>
    </row>
    <row r="2176" spans="1:9" ht="31.2">
      <c r="A2176" s="8">
        <v>5573814</v>
      </c>
      <c r="B2176" s="8" t="s">
        <v>249</v>
      </c>
      <c r="C2176" s="37" t="s">
        <v>3306</v>
      </c>
      <c r="D2176" s="12"/>
      <c r="E2176" s="12"/>
      <c r="F2176" s="26" t="s">
        <v>43</v>
      </c>
      <c r="G2176" s="12"/>
      <c r="H2176" s="8">
        <v>58</v>
      </c>
      <c r="I2176" s="7" t="s">
        <v>15</v>
      </c>
    </row>
    <row r="2177" spans="1:9" ht="31.2">
      <c r="A2177" s="8">
        <v>5573830</v>
      </c>
      <c r="B2177" s="8" t="s">
        <v>249</v>
      </c>
      <c r="C2177" s="37" t="s">
        <v>3307</v>
      </c>
      <c r="D2177" s="12"/>
      <c r="E2177" s="12"/>
      <c r="F2177" s="31" t="str">
        <f>HYPERLINK("https://www.familysearch.org/wiki/en/Maine_Taxation","FamilySearch.org")</f>
        <v>FamilySearch.org</v>
      </c>
      <c r="G2177" s="12"/>
      <c r="H2177" s="8">
        <v>58</v>
      </c>
      <c r="I2177" s="7" t="s">
        <v>15</v>
      </c>
    </row>
    <row r="2178" spans="1:9" ht="31.2">
      <c r="A2178" s="8">
        <v>5573832</v>
      </c>
      <c r="B2178" s="8" t="s">
        <v>249</v>
      </c>
      <c r="C2178" s="37" t="s">
        <v>3308</v>
      </c>
      <c r="D2178" s="12"/>
      <c r="E2178" s="12"/>
      <c r="F2178" s="26" t="s">
        <v>43</v>
      </c>
      <c r="G2178" s="12"/>
      <c r="H2178" s="8">
        <v>58</v>
      </c>
      <c r="I2178" s="7" t="s">
        <v>15</v>
      </c>
    </row>
    <row r="2179" spans="1:9" ht="31.2">
      <c r="A2179" s="8">
        <v>5573835</v>
      </c>
      <c r="B2179" s="8" t="s">
        <v>249</v>
      </c>
      <c r="C2179" s="37" t="s">
        <v>3309</v>
      </c>
      <c r="D2179" s="12"/>
      <c r="E2179" s="12"/>
      <c r="F2179" s="26" t="s">
        <v>43</v>
      </c>
      <c r="G2179" s="12"/>
      <c r="H2179" s="8">
        <v>58</v>
      </c>
      <c r="I2179" s="7" t="s">
        <v>15</v>
      </c>
    </row>
    <row r="2180" spans="1:9" ht="31.2">
      <c r="A2180" s="8">
        <v>5573844</v>
      </c>
      <c r="B2180" s="8" t="s">
        <v>249</v>
      </c>
      <c r="C2180" s="37" t="s">
        <v>3310</v>
      </c>
      <c r="D2180" s="12"/>
      <c r="E2180" s="12"/>
      <c r="F2180" s="26" t="s">
        <v>43</v>
      </c>
      <c r="G2180" s="12"/>
      <c r="H2180" s="8">
        <v>58</v>
      </c>
      <c r="I2180" s="7" t="s">
        <v>15</v>
      </c>
    </row>
    <row r="2181" spans="1:9" ht="31.2">
      <c r="A2181" s="8">
        <v>5573926</v>
      </c>
      <c r="B2181" s="8" t="s">
        <v>249</v>
      </c>
      <c r="C2181" s="37" t="s">
        <v>3311</v>
      </c>
      <c r="D2181" s="12"/>
      <c r="E2181" s="12"/>
      <c r="F2181" s="31" t="str">
        <f t="shared" ref="F2181:F2182" si="97">HYPERLINK("https://www.familysearch.org/wiki/en/Maine_Taxation","FamilySearch.org")</f>
        <v>FamilySearch.org</v>
      </c>
      <c r="G2181" s="12"/>
      <c r="H2181" s="8">
        <v>58</v>
      </c>
      <c r="I2181" s="7" t="s">
        <v>15</v>
      </c>
    </row>
    <row r="2182" spans="1:9" ht="31.2">
      <c r="A2182" s="8">
        <v>5573929</v>
      </c>
      <c r="B2182" s="8" t="s">
        <v>249</v>
      </c>
      <c r="C2182" s="37" t="s">
        <v>3312</v>
      </c>
      <c r="D2182" s="12"/>
      <c r="E2182" s="12"/>
      <c r="F2182" s="31" t="str">
        <f t="shared" si="97"/>
        <v>FamilySearch.org</v>
      </c>
      <c r="G2182" s="12"/>
      <c r="H2182" s="8">
        <v>58</v>
      </c>
      <c r="I2182" s="7" t="s">
        <v>15</v>
      </c>
    </row>
    <row r="2183" spans="1:9" ht="31.2">
      <c r="A2183" s="8">
        <v>5573937</v>
      </c>
      <c r="B2183" s="8" t="s">
        <v>249</v>
      </c>
      <c r="C2183" s="54" t="str">
        <f>HYPERLINK("https://catalog.archives.gov/search?q=*:*&amp;f.ancestorNaIds=5573937&amp;sort=naIdSort%20asc","Excise Tax Assessment Lists, Connecticut (Collection District 4, Fairfield), 1867-1873")</f>
        <v>Excise Tax Assessment Lists, Connecticut (Collection District 4, Fairfield), 1867-1873</v>
      </c>
      <c r="D2183" s="12"/>
      <c r="E2183" s="12"/>
      <c r="F2183" s="86" t="s">
        <v>43</v>
      </c>
      <c r="G2183" s="12"/>
      <c r="H2183" s="8">
        <v>58</v>
      </c>
      <c r="I2183" s="15" t="s">
        <v>11</v>
      </c>
    </row>
    <row r="2184" spans="1:9" ht="31.2">
      <c r="A2184" s="29">
        <v>5585853</v>
      </c>
      <c r="B2184" s="8" t="s">
        <v>249</v>
      </c>
      <c r="C2184" s="16" t="s">
        <v>3313</v>
      </c>
      <c r="D2184" s="12"/>
      <c r="E2184" s="26" t="s">
        <v>14</v>
      </c>
      <c r="F2184" s="12"/>
      <c r="G2184" s="12"/>
      <c r="H2184" s="33">
        <v>21</v>
      </c>
      <c r="I2184" s="14" t="s">
        <v>15</v>
      </c>
    </row>
    <row r="2185" spans="1:9" ht="31.2">
      <c r="A2185" s="29">
        <v>5605027</v>
      </c>
      <c r="B2185" s="8" t="s">
        <v>249</v>
      </c>
      <c r="C2185" s="49" t="s">
        <v>3314</v>
      </c>
      <c r="D2185" s="32" t="s">
        <v>220</v>
      </c>
      <c r="E2185" s="26" t="s">
        <v>14</v>
      </c>
      <c r="F2185" s="12"/>
      <c r="G2185" s="12"/>
      <c r="H2185" s="33">
        <v>90</v>
      </c>
      <c r="I2185" s="23" t="s">
        <v>18</v>
      </c>
    </row>
    <row r="2186" spans="1:9" ht="31.2">
      <c r="A2186" s="8">
        <v>5634094</v>
      </c>
      <c r="B2186" s="8" t="s">
        <v>249</v>
      </c>
      <c r="C2186" s="54" t="str">
        <f>HYPERLINK("https://catalog.archives.gov/search?q=*:*&amp;f.ancestorNaIds=5634094&amp;sort=naIdSort%20asc","Excise Tax Assessment Lists, Connecticut (Collection District 2, New Haven), 1865-1874")</f>
        <v>Excise Tax Assessment Lists, Connecticut (Collection District 2, New Haven), 1865-1874</v>
      </c>
      <c r="D2186" s="12"/>
      <c r="E2186" s="12"/>
      <c r="F2186" s="31" t="str">
        <f t="shared" ref="F2186:F2187" si="98">HYPERLINK("https://www.familysearch.org/wiki/en/Connecticut_Taxation","FamilySearch.org")</f>
        <v>FamilySearch.org</v>
      </c>
      <c r="G2186" s="12"/>
      <c r="H2186" s="8">
        <v>58</v>
      </c>
      <c r="I2186" s="15" t="s">
        <v>11</v>
      </c>
    </row>
    <row r="2187" spans="1:9" ht="31.2">
      <c r="A2187" s="8">
        <v>5634108</v>
      </c>
      <c r="B2187" s="8" t="s">
        <v>249</v>
      </c>
      <c r="C2187" s="54" t="str">
        <f>HYPERLINK("https://catalog.archives.gov/search?q=*:*&amp;f.ancestorNaIds=5634108&amp;sort=naIdSort%20asc","Excise Tax Assessment Lists, Connecticut (Collection District 3, New London), 1867-1872")</f>
        <v>Excise Tax Assessment Lists, Connecticut (Collection District 3, New London), 1867-1872</v>
      </c>
      <c r="D2187" s="12"/>
      <c r="E2187" s="12"/>
      <c r="F2187" s="31" t="str">
        <f t="shared" si="98"/>
        <v>FamilySearch.org</v>
      </c>
      <c r="G2187" s="12"/>
      <c r="H2187" s="8">
        <v>58</v>
      </c>
      <c r="I2187" s="15" t="s">
        <v>11</v>
      </c>
    </row>
    <row r="2188" spans="1:9" ht="15.6">
      <c r="A2188" s="8">
        <v>5634910</v>
      </c>
      <c r="B2188" s="8" t="s">
        <v>249</v>
      </c>
      <c r="C2188" s="34" t="s">
        <v>3315</v>
      </c>
      <c r="D2188" s="12"/>
      <c r="E2188" s="12"/>
      <c r="F2188" s="31" t="str">
        <f>HYPERLINK("https://www.familysearch.org/search/catalog/2829739","FamilySearch.org")</f>
        <v>FamilySearch.org</v>
      </c>
      <c r="G2188" s="12"/>
      <c r="H2188" s="8">
        <v>36</v>
      </c>
      <c r="I2188" s="7" t="s">
        <v>11</v>
      </c>
    </row>
    <row r="2189" spans="1:9" ht="31.2">
      <c r="A2189" s="8">
        <v>5635495</v>
      </c>
      <c r="B2189" s="8" t="s">
        <v>249</v>
      </c>
      <c r="C2189" s="37" t="s">
        <v>3316</v>
      </c>
      <c r="D2189" s="12"/>
      <c r="E2189" s="12"/>
      <c r="F2189" s="31" t="str">
        <f>HYPERLINK("https://www.familysearch.org/search/catalog/2822165","FamilySearch.org")</f>
        <v>FamilySearch.org</v>
      </c>
      <c r="G2189" s="12"/>
      <c r="H2189" s="8">
        <v>38</v>
      </c>
      <c r="I2189" s="7" t="s">
        <v>15</v>
      </c>
    </row>
    <row r="2190" spans="1:9" ht="31.2">
      <c r="A2190" s="29">
        <v>5635845</v>
      </c>
      <c r="B2190" s="8" t="s">
        <v>249</v>
      </c>
      <c r="C2190" s="16" t="s">
        <v>3317</v>
      </c>
      <c r="D2190" s="12"/>
      <c r="E2190" s="26" t="s">
        <v>14</v>
      </c>
      <c r="F2190" s="12"/>
      <c r="G2190" s="12"/>
      <c r="H2190" s="33">
        <v>21</v>
      </c>
      <c r="I2190" s="14" t="s">
        <v>15</v>
      </c>
    </row>
    <row r="2191" spans="1:9" ht="31.2">
      <c r="A2191" s="29">
        <v>5635857</v>
      </c>
      <c r="B2191" s="8" t="s">
        <v>249</v>
      </c>
      <c r="C2191" s="16" t="s">
        <v>3318</v>
      </c>
      <c r="D2191" s="12"/>
      <c r="E2191" s="26" t="s">
        <v>14</v>
      </c>
      <c r="F2191" s="12"/>
      <c r="G2191" s="12"/>
      <c r="H2191" s="33">
        <v>21</v>
      </c>
      <c r="I2191" s="14" t="s">
        <v>15</v>
      </c>
    </row>
    <row r="2192" spans="1:9" ht="31.2">
      <c r="A2192" s="8">
        <v>5635883</v>
      </c>
      <c r="B2192" s="8" t="s">
        <v>249</v>
      </c>
      <c r="C2192" s="54" t="s">
        <v>3319</v>
      </c>
      <c r="D2192" s="12"/>
      <c r="E2192" s="12"/>
      <c r="F2192" s="31" t="str">
        <f>HYPERLINK("https://www.familysearch.org/search/catalog/1876623","FamilySearch.org")</f>
        <v>FamilySearch.org</v>
      </c>
      <c r="G2192" s="12"/>
      <c r="H2192" s="8">
        <v>21</v>
      </c>
      <c r="I2192" s="15" t="s">
        <v>18</v>
      </c>
    </row>
    <row r="2193" spans="1:9" ht="31.2">
      <c r="A2193" s="8">
        <v>5635884</v>
      </c>
      <c r="B2193" s="8" t="s">
        <v>249</v>
      </c>
      <c r="C2193" s="37" t="s">
        <v>3320</v>
      </c>
      <c r="D2193" s="12"/>
      <c r="E2193" s="12"/>
      <c r="F2193" s="31" t="str">
        <f>HYPERLINK("https://www.familysearch.org/search/catalog/2140488","FamilySearch.org")</f>
        <v>FamilySearch.org</v>
      </c>
      <c r="G2193" s="12"/>
      <c r="H2193" s="8">
        <v>21</v>
      </c>
      <c r="I2193" s="7" t="s">
        <v>15</v>
      </c>
    </row>
    <row r="2194" spans="1:9" ht="31.2">
      <c r="A2194" s="8">
        <v>5635885</v>
      </c>
      <c r="B2194" s="8" t="s">
        <v>249</v>
      </c>
      <c r="C2194" s="54" t="s">
        <v>3321</v>
      </c>
      <c r="D2194" s="12"/>
      <c r="E2194" s="12"/>
      <c r="F2194" s="31" t="str">
        <f>HYPERLINK("https://www.familysearch.org/search/catalog/1876624","FamilySearch.org")</f>
        <v>FamilySearch.org</v>
      </c>
      <c r="G2194" s="12"/>
      <c r="H2194" s="8">
        <v>21</v>
      </c>
      <c r="I2194" s="15" t="s">
        <v>18</v>
      </c>
    </row>
    <row r="2195" spans="1:9" ht="15.6">
      <c r="A2195" s="8">
        <v>5635886</v>
      </c>
      <c r="B2195" s="8" t="s">
        <v>249</v>
      </c>
      <c r="C2195" s="54" t="s">
        <v>3322</v>
      </c>
      <c r="D2195" s="12"/>
      <c r="E2195" s="12"/>
      <c r="F2195" s="31" t="str">
        <f>HYPERLINK("https://www.familysearch.org/search/catalog/2829800","FamilySearch.org")</f>
        <v>FamilySearch.org</v>
      </c>
      <c r="G2195" s="12"/>
      <c r="H2195" s="8">
        <v>21</v>
      </c>
      <c r="I2195" s="15" t="s">
        <v>18</v>
      </c>
    </row>
    <row r="2196" spans="1:9" ht="31.2">
      <c r="A2196" s="29">
        <v>5637782</v>
      </c>
      <c r="B2196" s="8" t="s">
        <v>249</v>
      </c>
      <c r="C2196" s="16" t="s">
        <v>3323</v>
      </c>
      <c r="D2196" s="12"/>
      <c r="E2196" s="26" t="s">
        <v>14</v>
      </c>
      <c r="F2196" s="12"/>
      <c r="G2196" s="12"/>
      <c r="H2196" s="33">
        <v>21</v>
      </c>
      <c r="I2196" s="14" t="s">
        <v>15</v>
      </c>
    </row>
    <row r="2197" spans="1:9" ht="31.2">
      <c r="A2197" s="29">
        <v>5637783</v>
      </c>
      <c r="B2197" s="8" t="s">
        <v>249</v>
      </c>
      <c r="C2197" s="16" t="s">
        <v>3324</v>
      </c>
      <c r="D2197" s="12"/>
      <c r="E2197" s="26" t="s">
        <v>14</v>
      </c>
      <c r="F2197" s="12"/>
      <c r="G2197" s="12"/>
      <c r="H2197" s="33">
        <v>21</v>
      </c>
      <c r="I2197" s="14" t="s">
        <v>15</v>
      </c>
    </row>
    <row r="2198" spans="1:9" ht="46.8">
      <c r="A2198" s="29">
        <v>5637784</v>
      </c>
      <c r="B2198" s="8" t="s">
        <v>249</v>
      </c>
      <c r="C2198" s="16" t="s">
        <v>3325</v>
      </c>
      <c r="D2198" s="12"/>
      <c r="E2198" s="26" t="s">
        <v>14</v>
      </c>
      <c r="F2198" s="12"/>
      <c r="G2198" s="12"/>
      <c r="H2198" s="33">
        <v>21</v>
      </c>
      <c r="I2198" s="14" t="s">
        <v>15</v>
      </c>
    </row>
    <row r="2199" spans="1:9" ht="46.8">
      <c r="A2199" s="29">
        <v>5637785</v>
      </c>
      <c r="B2199" s="8" t="s">
        <v>249</v>
      </c>
      <c r="C2199" s="16" t="s">
        <v>3326</v>
      </c>
      <c r="D2199" s="12"/>
      <c r="E2199" s="26" t="s">
        <v>14</v>
      </c>
      <c r="F2199" s="12"/>
      <c r="G2199" s="12"/>
      <c r="H2199" s="33">
        <v>21</v>
      </c>
      <c r="I2199" s="14" t="s">
        <v>15</v>
      </c>
    </row>
    <row r="2200" spans="1:9" ht="31.2">
      <c r="A2200" s="8">
        <v>5641540</v>
      </c>
      <c r="B2200" s="8" t="s">
        <v>249</v>
      </c>
      <c r="C2200" s="37" t="s">
        <v>3327</v>
      </c>
      <c r="D2200" s="12"/>
      <c r="E2200" s="12"/>
      <c r="F2200" s="31" t="str">
        <f>HYPERLINK("https://www.familysearch.org/search/catalog/2819009","FamilySearch.org")</f>
        <v>FamilySearch.org</v>
      </c>
      <c r="G2200" s="12"/>
      <c r="H2200" s="8">
        <v>36</v>
      </c>
      <c r="I2200" s="7" t="s">
        <v>15</v>
      </c>
    </row>
    <row r="2201" spans="1:9" ht="31.2">
      <c r="A2201" s="8">
        <v>5641629</v>
      </c>
      <c r="B2201" s="8" t="s">
        <v>249</v>
      </c>
      <c r="C2201" s="34" t="s">
        <v>3328</v>
      </c>
      <c r="D2201" s="12"/>
      <c r="E2201" s="12"/>
      <c r="F2201" s="94" t="s">
        <v>43</v>
      </c>
      <c r="G2201" s="12"/>
      <c r="H2201" s="8">
        <v>36</v>
      </c>
      <c r="I2201" s="7" t="s">
        <v>11</v>
      </c>
    </row>
    <row r="2202" spans="1:9" ht="15.6">
      <c r="A2202" s="8">
        <v>5647398</v>
      </c>
      <c r="B2202" s="8" t="s">
        <v>249</v>
      </c>
      <c r="C2202" s="54" t="str">
        <f>HYPERLINK("https://catalog.archives.gov/search?q=*:*&amp;f.ancestorNaIds=5647398&amp;sort=naIdSort%20asc","Register Books (Sitka, Alaska), 1885-1902")</f>
        <v>Register Books (Sitka, Alaska), 1885-1902</v>
      </c>
      <c r="D2202" s="12"/>
      <c r="E2202" s="12"/>
      <c r="F2202" s="31" t="str">
        <f>HYPERLINK("https://www.familysearch.org/search/catalog/2835350","FamilySearch.org")</f>
        <v>FamilySearch.org</v>
      </c>
      <c r="G2202" s="12"/>
      <c r="H2202" s="8">
        <v>49</v>
      </c>
      <c r="I2202" s="15" t="s">
        <v>11</v>
      </c>
    </row>
    <row r="2203" spans="1:9" ht="31.2">
      <c r="A2203" s="29">
        <v>5651666</v>
      </c>
      <c r="B2203" s="8" t="s">
        <v>249</v>
      </c>
      <c r="C2203" s="49" t="str">
        <f>HYPERLINK("https://catalog.archives.gov/search?q=*:*&amp;f.ancestorNaIds=5651666&amp;sort=naIdSort%20asc","Petitions for Naturalization, Idaho (Central (Moscow) Division), 1892 - 1967")</f>
        <v>Petitions for Naturalization, Idaho (Central (Moscow) Division), 1892 - 1967</v>
      </c>
      <c r="D2203" s="12"/>
      <c r="E2203" s="32" t="str">
        <f t="shared" ref="E2203:E2204" si="99">HYPERLINK("https://search.ancestryinstitution.com/search/db.aspx?dbid=2032","Ancestry.com")</f>
        <v>Ancestry.com</v>
      </c>
      <c r="F2203" s="31" t="str">
        <f>HYPERLINK("https://www.familysearch.org/search/catalog/2818907","FamilySearch.org")</f>
        <v>FamilySearch.org</v>
      </c>
      <c r="G2203" s="12"/>
      <c r="H2203" s="33">
        <v>21</v>
      </c>
      <c r="I2203" s="23" t="s">
        <v>18</v>
      </c>
    </row>
    <row r="2204" spans="1:9" ht="31.2">
      <c r="A2204" s="29">
        <v>5654140</v>
      </c>
      <c r="B2204" s="8" t="s">
        <v>249</v>
      </c>
      <c r="C2204" s="49" t="str">
        <f>HYPERLINK("https://catalog.archives.gov/search?q=*:*&amp;f.ancestorNaIds=5654140&amp;sort=naIdSort%20asc","Petitions for Naturalization, Idaho (Eastern (Pocatello) Division), 1893 - 1941")</f>
        <v>Petitions for Naturalization, Idaho (Eastern (Pocatello) Division), 1893 - 1941</v>
      </c>
      <c r="D2204" s="12"/>
      <c r="E2204" s="32" t="str">
        <f t="shared" si="99"/>
        <v>Ancestry.com</v>
      </c>
      <c r="F2204" s="31" t="str">
        <f>HYPERLINK("https://www.familysearch.org/search/catalog/2818910","FamilySearch.org")</f>
        <v>FamilySearch.org</v>
      </c>
      <c r="G2204" s="12"/>
      <c r="H2204" s="33">
        <v>21</v>
      </c>
      <c r="I2204" s="23" t="s">
        <v>18</v>
      </c>
    </row>
    <row r="2205" spans="1:9" ht="31.2">
      <c r="A2205" s="8">
        <v>5661942</v>
      </c>
      <c r="B2205" s="8" t="s">
        <v>249</v>
      </c>
      <c r="C2205" s="37" t="s">
        <v>3329</v>
      </c>
      <c r="D2205" s="12"/>
      <c r="E2205" s="12"/>
      <c r="F2205" s="31" t="str">
        <f>HYPERLINK("https://www.familysearch.org/wiki/en/Maine_Taxation","FamilySearch.org")</f>
        <v>FamilySearch.org</v>
      </c>
      <c r="G2205" s="12"/>
      <c r="H2205" s="8">
        <v>58</v>
      </c>
      <c r="I2205" s="7" t="s">
        <v>15</v>
      </c>
    </row>
    <row r="2206" spans="1:9" ht="46.8">
      <c r="A2206" s="8">
        <v>5664130</v>
      </c>
      <c r="B2206" s="8" t="s">
        <v>249</v>
      </c>
      <c r="C2206" s="54" t="str">
        <f>HYPERLINK("https://catalog.archives.gov/search?q=*:*&amp;f.ancestorNaIds=5664130&amp;sort=naIdSort%20asc","Declarations of Intention and Affidavits of Witnesses, Connecticut (Court of Common Pleas, New London County), 1874-1906")</f>
        <v>Declarations of Intention and Affidavits of Witnesses, Connecticut (Court of Common Pleas, New London County), 1874-1906</v>
      </c>
      <c r="D2206" s="12"/>
      <c r="E2206" s="12"/>
      <c r="F2206" s="31" t="str">
        <f>HYPERLINK("https://www.familysearch.org/search/catalog/592572","FamilySearch.org")</f>
        <v>FamilySearch.org</v>
      </c>
      <c r="G2206" s="12"/>
      <c r="H2206" s="8" t="s">
        <v>3058</v>
      </c>
      <c r="I2206" s="15" t="s">
        <v>11</v>
      </c>
    </row>
    <row r="2207" spans="1:9" ht="46.8">
      <c r="A2207" s="8">
        <v>5664132</v>
      </c>
      <c r="B2207" s="8" t="s">
        <v>249</v>
      </c>
      <c r="C2207" s="54" t="str">
        <f>HYPERLINK("https://catalog.archives.gov/search?q=*:*&amp;f.ancestorNaIds=5664132&amp;sort=naIdSort%20asc","Records of Naturalizations Connecticut (Court of Common Pleas, New London County), 1874-1906")</f>
        <v>Records of Naturalizations Connecticut (Court of Common Pleas, New London County), 1874-1906</v>
      </c>
      <c r="D2207" s="12"/>
      <c r="E2207" s="12"/>
      <c r="F2207" s="31" t="str">
        <f>HYPERLINK("https://www.familysearch.org/search/catalog/592495","FamilySearch.org")</f>
        <v>FamilySearch.org</v>
      </c>
      <c r="G2207" s="12"/>
      <c r="H2207" s="8" t="s">
        <v>3058</v>
      </c>
      <c r="I2207" s="15" t="s">
        <v>11</v>
      </c>
    </row>
    <row r="2208" spans="1:9" ht="15.6">
      <c r="A2208" s="8">
        <v>5664159</v>
      </c>
      <c r="B2208" s="8" t="s">
        <v>249</v>
      </c>
      <c r="C2208" s="34" t="s">
        <v>3330</v>
      </c>
      <c r="D2208" s="12"/>
      <c r="E2208" s="12"/>
      <c r="F2208" s="31" t="str">
        <f>HYPERLINK("https://www.familysearch.org/search/catalog/2829742","FamilySearch.org")</f>
        <v>FamilySearch.org</v>
      </c>
      <c r="G2208" s="12"/>
      <c r="H2208" s="8">
        <v>36</v>
      </c>
      <c r="I2208" s="7" t="s">
        <v>11</v>
      </c>
    </row>
    <row r="2209" spans="1:9" ht="46.8">
      <c r="A2209" s="29">
        <v>5665301</v>
      </c>
      <c r="B2209" s="8" t="s">
        <v>249</v>
      </c>
      <c r="C2209" s="16" t="s">
        <v>3331</v>
      </c>
      <c r="D2209" s="12"/>
      <c r="E2209" s="26" t="s">
        <v>14</v>
      </c>
      <c r="F2209" s="12"/>
      <c r="G2209" s="12"/>
      <c r="H2209" s="33">
        <v>21</v>
      </c>
      <c r="I2209" s="14" t="s">
        <v>15</v>
      </c>
    </row>
    <row r="2210" spans="1:9" ht="31.2">
      <c r="A2210" s="29">
        <v>5665308</v>
      </c>
      <c r="B2210" s="8" t="s">
        <v>249</v>
      </c>
      <c r="C2210" s="16" t="s">
        <v>3332</v>
      </c>
      <c r="D2210" s="12"/>
      <c r="E2210" s="26" t="s">
        <v>14</v>
      </c>
      <c r="F2210" s="12"/>
      <c r="G2210" s="12"/>
      <c r="H2210" s="33">
        <v>21</v>
      </c>
      <c r="I2210" s="14" t="s">
        <v>15</v>
      </c>
    </row>
    <row r="2211" spans="1:9" ht="31.2">
      <c r="A2211" s="8">
        <v>5665319</v>
      </c>
      <c r="B2211" s="8" t="s">
        <v>249</v>
      </c>
      <c r="C2211" s="54" t="str">
        <f>HYPERLINK("https://catalog.archives.gov/search?q=*:*&amp;f.ancestorNaIds=5665319&amp;sort=naIdSort%20asc","Oaths for License of Vessel Under 20 Tons (Ketchikan, Alaska), 1899 - 1936")</f>
        <v>Oaths for License of Vessel Under 20 Tons (Ketchikan, Alaska), 1899 - 1936</v>
      </c>
      <c r="D2211" s="12"/>
      <c r="E2211" s="12"/>
      <c r="F2211" s="31" t="str">
        <f t="shared" ref="F2211:F2217" si="100">HYPERLINK("https://familysearch.org/search/catalog/2835360","FamilySearch.org")</f>
        <v>FamilySearch.org</v>
      </c>
      <c r="G2211" s="12"/>
      <c r="H2211" s="8">
        <v>36</v>
      </c>
      <c r="I2211" s="15" t="s">
        <v>11</v>
      </c>
    </row>
    <row r="2212" spans="1:9" ht="31.2">
      <c r="A2212" s="8">
        <v>5665332</v>
      </c>
      <c r="B2212" s="8" t="s">
        <v>249</v>
      </c>
      <c r="C2212" s="54" t="str">
        <f>HYPERLINK("https://catalog.archives.gov/search?q=*:*&amp;f.ancestorNaIds=5665332&amp;sort=naIdSort%20asc","Oaths on Enrollment of Vessel (Ketchikan, Alaska), 1899 - 1934")</f>
        <v>Oaths on Enrollment of Vessel (Ketchikan, Alaska), 1899 - 1934</v>
      </c>
      <c r="D2212" s="12"/>
      <c r="E2212" s="12"/>
      <c r="F2212" s="31" t="str">
        <f t="shared" si="100"/>
        <v>FamilySearch.org</v>
      </c>
      <c r="G2212" s="12"/>
      <c r="H2212" s="8">
        <v>36</v>
      </c>
      <c r="I2212" s="15" t="s">
        <v>11</v>
      </c>
    </row>
    <row r="2213" spans="1:9" ht="46.8">
      <c r="A2213" s="8">
        <v>5667416</v>
      </c>
      <c r="B2213" s="8" t="s">
        <v>249</v>
      </c>
      <c r="C2213" s="54" t="str">
        <f>HYPERLINK("https://catalog.archives.gov/search?q=*:*&amp;f.ancestorNaIds=5667416&amp;sort=naIdSort%20asc","Oaths on Registry, License, or Enrollment and License of Vessels (Ketchikan, Alaska), 1945-1963")</f>
        <v>Oaths on Registry, License, or Enrollment and License of Vessels (Ketchikan, Alaska), 1945-1963</v>
      </c>
      <c r="D2213" s="12"/>
      <c r="E2213" s="12"/>
      <c r="F2213" s="31" t="str">
        <f t="shared" si="100"/>
        <v>FamilySearch.org</v>
      </c>
      <c r="G2213" s="12"/>
      <c r="H2213" s="8">
        <v>36</v>
      </c>
      <c r="I2213" s="15" t="s">
        <v>11</v>
      </c>
    </row>
    <row r="2214" spans="1:9" ht="31.2">
      <c r="A2214" s="8">
        <v>5674390</v>
      </c>
      <c r="B2214" s="8" t="s">
        <v>249</v>
      </c>
      <c r="C2214" s="54" t="str">
        <f>HYPERLINK("https://catalog.archives.gov/search?q=*:*&amp;f.ancestorNaIds=5674390&amp;sort=naIdSort%20asc","Master's Oaths on License of Merchant Vessel or Yacht (Ketchikan, Alaska), 1929-1938")</f>
        <v>Master's Oaths on License of Merchant Vessel or Yacht (Ketchikan, Alaska), 1929-1938</v>
      </c>
      <c r="D2214" s="12"/>
      <c r="E2214" s="12"/>
      <c r="F2214" s="31" t="str">
        <f t="shared" si="100"/>
        <v>FamilySearch.org</v>
      </c>
      <c r="G2214" s="12"/>
      <c r="H2214" s="8">
        <v>36</v>
      </c>
      <c r="I2214" s="15" t="s">
        <v>11</v>
      </c>
    </row>
    <row r="2215" spans="1:9" ht="31.2">
      <c r="A2215" s="8">
        <v>5674431</v>
      </c>
      <c r="B2215" s="8" t="s">
        <v>249</v>
      </c>
      <c r="C2215" s="54" t="str">
        <f>HYPERLINK("https://catalog.archives.gov/search?q=*:*&amp;f.ancestorNaIds=5674431&amp;sort=naIdSort%20asc","Master's Oaths on License of Enrolled Vessels (Ketchikan, Alaska), 1930-1940")</f>
        <v>Master's Oaths on License of Enrolled Vessels (Ketchikan, Alaska), 1930-1940</v>
      </c>
      <c r="D2215" s="12"/>
      <c r="E2215" s="12"/>
      <c r="F2215" s="31" t="str">
        <f t="shared" si="100"/>
        <v>FamilySearch.org</v>
      </c>
      <c r="G2215" s="12"/>
      <c r="H2215" s="8">
        <v>36</v>
      </c>
      <c r="I2215" s="15" t="s">
        <v>11</v>
      </c>
    </row>
    <row r="2216" spans="1:9" ht="31.2">
      <c r="A2216" s="8">
        <v>5674543</v>
      </c>
      <c r="B2216" s="8" t="s">
        <v>249</v>
      </c>
      <c r="C2216" s="54" t="str">
        <f>HYPERLINK("https://catalog.archives.gov/search?q=*:*&amp;f.ancestorNaIds=5674543&amp;sort=naIdSort%20asc","Oaths of New or Alternate Masters of Vessels (Ketchikan, Alaska), 1948 - 1982")</f>
        <v>Oaths of New or Alternate Masters of Vessels (Ketchikan, Alaska), 1948 - 1982</v>
      </c>
      <c r="D2216" s="12"/>
      <c r="E2216" s="12"/>
      <c r="F2216" s="31" t="str">
        <f t="shared" si="100"/>
        <v>FamilySearch.org</v>
      </c>
      <c r="G2216" s="12"/>
      <c r="H2216" s="8">
        <v>36</v>
      </c>
      <c r="I2216" s="15" t="s">
        <v>11</v>
      </c>
    </row>
    <row r="2217" spans="1:9" ht="31.2">
      <c r="A2217" s="8">
        <v>5674603</v>
      </c>
      <c r="B2217" s="8" t="s">
        <v>249</v>
      </c>
      <c r="C2217" s="54" t="str">
        <f>HYPERLINK("https://catalog.archives.gov/search?q=*:*&amp;f.ancestorNaIds=5674603&amp;sort=naIdSort%20asc","Oaths and Declarations (Ketchikan, Alaska), 1928 - 1963")</f>
        <v>Oaths and Declarations (Ketchikan, Alaska), 1928 - 1963</v>
      </c>
      <c r="D2217" s="12"/>
      <c r="E2217" s="12"/>
      <c r="F2217" s="31" t="str">
        <f t="shared" si="100"/>
        <v>FamilySearch.org</v>
      </c>
      <c r="G2217" s="12"/>
      <c r="H2217" s="8">
        <v>36</v>
      </c>
      <c r="I2217" s="15" t="s">
        <v>11</v>
      </c>
    </row>
    <row r="2218" spans="1:9" ht="31.2">
      <c r="A2218" s="29">
        <v>5674638</v>
      </c>
      <c r="B2218" s="8" t="s">
        <v>249</v>
      </c>
      <c r="C2218" s="16" t="s">
        <v>3333</v>
      </c>
      <c r="D2218" s="12"/>
      <c r="E2218" s="12"/>
      <c r="F2218" s="32" t="s">
        <v>43</v>
      </c>
      <c r="G2218" s="12"/>
      <c r="H2218" s="33">
        <v>21</v>
      </c>
      <c r="I2218" s="14" t="s">
        <v>15</v>
      </c>
    </row>
    <row r="2219" spans="1:9" ht="31.2">
      <c r="A2219" s="29">
        <v>5675481</v>
      </c>
      <c r="B2219" s="8" t="s">
        <v>249</v>
      </c>
      <c r="C2219" s="16" t="s">
        <v>3334</v>
      </c>
      <c r="D2219" s="12"/>
      <c r="E2219" s="26" t="s">
        <v>14</v>
      </c>
      <c r="F2219" s="12"/>
      <c r="G2219" s="12"/>
      <c r="H2219" s="33">
        <v>21</v>
      </c>
      <c r="I2219" s="14" t="s">
        <v>15</v>
      </c>
    </row>
    <row r="2220" spans="1:9" ht="46.8">
      <c r="A2220" s="29">
        <v>5675567</v>
      </c>
      <c r="B2220" s="8" t="s">
        <v>249</v>
      </c>
      <c r="C2220" s="16" t="s">
        <v>3335</v>
      </c>
      <c r="D2220" s="12"/>
      <c r="E2220" s="26" t="s">
        <v>14</v>
      </c>
      <c r="F2220" s="12"/>
      <c r="G2220" s="12"/>
      <c r="H2220" s="33">
        <v>21</v>
      </c>
      <c r="I2220" s="14" t="s">
        <v>15</v>
      </c>
    </row>
    <row r="2221" spans="1:9" ht="31.2">
      <c r="A2221" s="29">
        <v>5675842</v>
      </c>
      <c r="B2221" s="8" t="s">
        <v>249</v>
      </c>
      <c r="C2221" s="16" t="s">
        <v>3336</v>
      </c>
      <c r="D2221" s="12"/>
      <c r="E2221" s="26" t="s">
        <v>14</v>
      </c>
      <c r="F2221" s="12"/>
      <c r="G2221" s="12"/>
      <c r="H2221" s="33">
        <v>21</v>
      </c>
      <c r="I2221" s="14" t="s">
        <v>15</v>
      </c>
    </row>
    <row r="2222" spans="1:9" ht="31.2">
      <c r="A2222" s="8">
        <v>5677164</v>
      </c>
      <c r="B2222" s="8" t="s">
        <v>249</v>
      </c>
      <c r="C2222" s="37" t="s">
        <v>3337</v>
      </c>
      <c r="D2222" s="12"/>
      <c r="E2222" s="12"/>
      <c r="F2222" s="26" t="s">
        <v>43</v>
      </c>
      <c r="G2222" s="12"/>
      <c r="H2222" s="8">
        <v>58</v>
      </c>
      <c r="I2222" s="7" t="s">
        <v>15</v>
      </c>
    </row>
    <row r="2223" spans="1:9" ht="31.2">
      <c r="A2223" s="8">
        <v>5677167</v>
      </c>
      <c r="B2223" s="8" t="s">
        <v>249</v>
      </c>
      <c r="C2223" s="37" t="s">
        <v>3338</v>
      </c>
      <c r="D2223" s="12"/>
      <c r="E2223" s="12"/>
      <c r="F2223" s="26" t="s">
        <v>43</v>
      </c>
      <c r="G2223" s="12"/>
      <c r="H2223" s="8">
        <v>58</v>
      </c>
      <c r="I2223" s="7" t="s">
        <v>15</v>
      </c>
    </row>
    <row r="2224" spans="1:9" ht="31.2">
      <c r="A2224" s="8">
        <v>5677169</v>
      </c>
      <c r="B2224" s="8" t="s">
        <v>249</v>
      </c>
      <c r="C2224" s="37" t="s">
        <v>3339</v>
      </c>
      <c r="D2224" s="12"/>
      <c r="E2224" s="12"/>
      <c r="F2224" s="31" t="str">
        <f t="shared" ref="F2224:F2225" si="101">HYPERLINK("https://www.familysearch.org/wiki/en/Vermont_Taxation","FamilySearch.org")</f>
        <v>FamilySearch.org</v>
      </c>
      <c r="G2224" s="12"/>
      <c r="H2224" s="8">
        <v>58</v>
      </c>
      <c r="I2224" s="7" t="s">
        <v>15</v>
      </c>
    </row>
    <row r="2225" spans="1:9" ht="31.2">
      <c r="A2225" s="8">
        <v>5678662</v>
      </c>
      <c r="B2225" s="8" t="s">
        <v>249</v>
      </c>
      <c r="C2225" s="37" t="s">
        <v>3340</v>
      </c>
      <c r="D2225" s="12"/>
      <c r="E2225" s="12"/>
      <c r="F2225" s="31" t="str">
        <f t="shared" si="101"/>
        <v>FamilySearch.org</v>
      </c>
      <c r="G2225" s="12"/>
      <c r="H2225" s="8">
        <v>58</v>
      </c>
      <c r="I2225" s="7" t="s">
        <v>15</v>
      </c>
    </row>
    <row r="2226" spans="1:9" ht="46.8">
      <c r="A2226" s="8">
        <v>5678672</v>
      </c>
      <c r="B2226" s="8" t="s">
        <v>249</v>
      </c>
      <c r="C2226" s="54" t="str">
        <f>HYPERLINK("https://catalog.archives.gov/search?q=*:*&amp;f.ancestorNaIds=5678672&amp;sort=naIdSort%20asc","Master's Oaths of Registry and License of Enrolled Vessels (Wrangell, Alaska), 1930 - 1934")</f>
        <v>Master's Oaths of Registry and License of Enrolled Vessels (Wrangell, Alaska), 1930 - 1934</v>
      </c>
      <c r="D2226" s="12"/>
      <c r="E2226" s="12"/>
      <c r="F2226" s="31" t="str">
        <f>HYPERLINK("https://www.familysearch.org/search/catalog/2835362","FamilySearch.org")</f>
        <v>FamilySearch.org</v>
      </c>
      <c r="G2226" s="12"/>
      <c r="H2226" s="8">
        <v>36</v>
      </c>
      <c r="I2226" s="15" t="s">
        <v>18</v>
      </c>
    </row>
    <row r="2227" spans="1:9" ht="31.2">
      <c r="A2227" s="29">
        <v>5681064</v>
      </c>
      <c r="B2227" s="8" t="s">
        <v>249</v>
      </c>
      <c r="C2227" s="34" t="s">
        <v>3341</v>
      </c>
      <c r="D2227" s="12"/>
      <c r="E2227" s="26" t="s">
        <v>14</v>
      </c>
      <c r="F2227" s="32" t="str">
        <f>HYPERLINK("https://www.familysearch.org/search/catalog/2842840","FamilySearch.org")</f>
        <v>FamilySearch.org</v>
      </c>
      <c r="G2227" s="12"/>
      <c r="H2227" s="33">
        <v>49</v>
      </c>
      <c r="I2227" s="14" t="s">
        <v>11</v>
      </c>
    </row>
    <row r="2228" spans="1:9" ht="31.2">
      <c r="A2228" s="8">
        <v>5681399</v>
      </c>
      <c r="B2228" s="8" t="s">
        <v>249</v>
      </c>
      <c r="C2228" s="37" t="s">
        <v>3342</v>
      </c>
      <c r="D2228" s="12"/>
      <c r="E2228" s="12"/>
      <c r="F2228" s="26" t="s">
        <v>43</v>
      </c>
      <c r="G2228" s="12"/>
      <c r="H2228" s="8">
        <v>58</v>
      </c>
      <c r="I2228" s="7" t="s">
        <v>15</v>
      </c>
    </row>
    <row r="2229" spans="1:9" ht="31.2">
      <c r="A2229" s="29">
        <v>5682644</v>
      </c>
      <c r="B2229" s="8" t="s">
        <v>249</v>
      </c>
      <c r="C2229" s="16" t="s">
        <v>3343</v>
      </c>
      <c r="D2229" s="12"/>
      <c r="E2229" s="12"/>
      <c r="F2229" s="32" t="s">
        <v>43</v>
      </c>
      <c r="G2229" s="12"/>
      <c r="H2229" s="33">
        <v>21</v>
      </c>
      <c r="I2229" s="14" t="s">
        <v>15</v>
      </c>
    </row>
    <row r="2230" spans="1:9" ht="31.2">
      <c r="A2230" s="29">
        <v>5682646</v>
      </c>
      <c r="B2230" s="8" t="s">
        <v>249</v>
      </c>
      <c r="C2230" s="16" t="s">
        <v>3344</v>
      </c>
      <c r="D2230" s="12"/>
      <c r="E2230" s="12"/>
      <c r="F2230" s="32" t="s">
        <v>43</v>
      </c>
      <c r="G2230" s="12"/>
      <c r="H2230" s="33">
        <v>21</v>
      </c>
      <c r="I2230" s="14" t="s">
        <v>15</v>
      </c>
    </row>
    <row r="2231" spans="1:9" ht="31.2">
      <c r="A2231" s="8">
        <v>5682684</v>
      </c>
      <c r="B2231" s="8" t="s">
        <v>249</v>
      </c>
      <c r="C2231" s="37" t="s">
        <v>3345</v>
      </c>
      <c r="D2231" s="12"/>
      <c r="E2231" s="12"/>
      <c r="F2231" s="31" t="str">
        <f>HYPERLINK("https://www.familysearch.org/search/catalog/2829800","FamilySearch.org")</f>
        <v>FamilySearch.org</v>
      </c>
      <c r="G2231" s="12"/>
      <c r="H2231" s="8">
        <v>21</v>
      </c>
      <c r="I2231" s="7" t="s">
        <v>15</v>
      </c>
    </row>
    <row r="2232" spans="1:9" ht="46.8">
      <c r="A2232" s="8">
        <v>5682685</v>
      </c>
      <c r="B2232" s="8" t="s">
        <v>249</v>
      </c>
      <c r="C2232" s="37" t="s">
        <v>3346</v>
      </c>
      <c r="D2232" s="12"/>
      <c r="E2232" s="12"/>
      <c r="F2232" s="31" t="str">
        <f>HYPERLINK("https://www.familysearch.org/search/catalog/1876623","FamilySearch.org")</f>
        <v>FamilySearch.org</v>
      </c>
      <c r="G2232" s="12"/>
      <c r="H2232" s="8">
        <v>21</v>
      </c>
      <c r="I2232" s="7" t="s">
        <v>15</v>
      </c>
    </row>
    <row r="2233" spans="1:9" ht="46.8">
      <c r="A2233" s="8">
        <v>5682686</v>
      </c>
      <c r="B2233" s="8" t="s">
        <v>249</v>
      </c>
      <c r="C2233" s="37" t="s">
        <v>3347</v>
      </c>
      <c r="D2233" s="12"/>
      <c r="E2233" s="12"/>
      <c r="F2233" s="31" t="str">
        <f>HYPERLINK("https://www.familysearch.org/search/catalog/2140488","FamilySearch.org")</f>
        <v>FamilySearch.org</v>
      </c>
      <c r="G2233" s="12"/>
      <c r="H2233" s="8">
        <v>21</v>
      </c>
      <c r="I2233" s="7" t="s">
        <v>15</v>
      </c>
    </row>
    <row r="2234" spans="1:9" ht="46.8">
      <c r="A2234" s="8">
        <v>5682687</v>
      </c>
      <c r="B2234" s="8" t="s">
        <v>249</v>
      </c>
      <c r="C2234" s="37" t="s">
        <v>3348</v>
      </c>
      <c r="D2234" s="12"/>
      <c r="E2234" s="12"/>
      <c r="F2234" s="31" t="str">
        <f>HYPERLINK(" https://www.familysearch.org/search/catalog/1876624","FamilySearch.org")</f>
        <v>FamilySearch.org</v>
      </c>
      <c r="G2234" s="12"/>
      <c r="H2234" s="8">
        <v>21</v>
      </c>
      <c r="I2234" s="7" t="s">
        <v>15</v>
      </c>
    </row>
    <row r="2235" spans="1:9" ht="46.8">
      <c r="A2235" s="8">
        <v>5682688</v>
      </c>
      <c r="B2235" s="8" t="s">
        <v>249</v>
      </c>
      <c r="C2235" s="37" t="s">
        <v>3349</v>
      </c>
      <c r="D2235" s="12"/>
      <c r="E2235" s="12"/>
      <c r="F2235" s="31" t="str">
        <f>HYPERLINK("https://www.familysearch.org/search/catalog/2090118","FamilySearch.org")</f>
        <v>FamilySearch.org</v>
      </c>
      <c r="G2235" s="12"/>
      <c r="H2235" s="8">
        <v>21</v>
      </c>
      <c r="I2235" s="7" t="s">
        <v>15</v>
      </c>
    </row>
    <row r="2236" spans="1:9" ht="46.8">
      <c r="A2236" s="29">
        <v>5686503</v>
      </c>
      <c r="B2236" s="8" t="s">
        <v>249</v>
      </c>
      <c r="C2236" s="16" t="s">
        <v>3350</v>
      </c>
      <c r="D2236" s="12"/>
      <c r="E2236" s="26" t="s">
        <v>14</v>
      </c>
      <c r="F2236" s="12"/>
      <c r="G2236" s="12"/>
      <c r="H2236" s="33">
        <v>21</v>
      </c>
      <c r="I2236" s="14" t="s">
        <v>15</v>
      </c>
    </row>
    <row r="2237" spans="1:9" ht="31.2">
      <c r="A2237" s="29">
        <v>5687052</v>
      </c>
      <c r="B2237" s="8" t="s">
        <v>249</v>
      </c>
      <c r="C2237" s="16" t="s">
        <v>3351</v>
      </c>
      <c r="D2237" s="12"/>
      <c r="E2237" s="12"/>
      <c r="F2237" s="32" t="s">
        <v>43</v>
      </c>
      <c r="G2237" s="12"/>
      <c r="H2237" s="33">
        <v>21</v>
      </c>
      <c r="I2237" s="14" t="s">
        <v>15</v>
      </c>
    </row>
    <row r="2238" spans="1:9" ht="46.8">
      <c r="A2238" s="8">
        <v>5687057</v>
      </c>
      <c r="B2238" s="8" t="s">
        <v>249</v>
      </c>
      <c r="C2238" s="54" t="s">
        <v>3352</v>
      </c>
      <c r="D2238" s="12"/>
      <c r="E2238" s="12"/>
      <c r="F2238" s="31" t="str">
        <f>HYPERLINK("https://www.familysearch.org/search/catalog/2179221","FamilySearch.org")</f>
        <v>FamilySearch.org</v>
      </c>
      <c r="G2238" s="12"/>
      <c r="H2238" s="8">
        <v>21</v>
      </c>
      <c r="I2238" s="15" t="s">
        <v>18</v>
      </c>
    </row>
    <row r="2239" spans="1:9" ht="31.2">
      <c r="A2239" s="8">
        <v>5688464</v>
      </c>
      <c r="B2239" s="8" t="s">
        <v>249</v>
      </c>
      <c r="C2239" s="37" t="s">
        <v>3353</v>
      </c>
      <c r="D2239" s="12"/>
      <c r="E2239" s="12"/>
      <c r="F2239" s="26" t="s">
        <v>43</v>
      </c>
      <c r="G2239" s="12"/>
      <c r="H2239" s="8">
        <v>58</v>
      </c>
      <c r="I2239" s="7" t="s">
        <v>15</v>
      </c>
    </row>
    <row r="2240" spans="1:9" ht="31.2">
      <c r="A2240" s="8">
        <v>5700802</v>
      </c>
      <c r="B2240" s="8" t="s">
        <v>249</v>
      </c>
      <c r="C2240" s="54" t="s">
        <v>3354</v>
      </c>
      <c r="D2240" s="12"/>
      <c r="E2240" s="12"/>
      <c r="F2240" s="31" t="str">
        <f>HYPERLINK("https://www.familysearch.org/search/catalog/370037","FamilySearch.org")</f>
        <v>FamilySearch.org</v>
      </c>
      <c r="G2240" s="12"/>
      <c r="H2240" s="8">
        <v>21</v>
      </c>
      <c r="I2240" s="15" t="s">
        <v>18</v>
      </c>
    </row>
    <row r="2241" spans="1:9" ht="31.2">
      <c r="A2241" s="8">
        <v>5700982</v>
      </c>
      <c r="B2241" s="8" t="s">
        <v>249</v>
      </c>
      <c r="C2241" s="37" t="s">
        <v>3355</v>
      </c>
      <c r="D2241" s="12"/>
      <c r="E2241" s="12"/>
      <c r="F2241" s="31" t="str">
        <f>HYPERLINK("https://www.familysearch.org/search/catalog/2818909","FamilySearch.org")</f>
        <v>FamilySearch.org</v>
      </c>
      <c r="G2241" s="12"/>
      <c r="H2241" s="8">
        <v>21</v>
      </c>
      <c r="I2241" s="7" t="s">
        <v>15</v>
      </c>
    </row>
    <row r="2242" spans="1:9" ht="31.2">
      <c r="A2242" s="8">
        <v>5710001</v>
      </c>
      <c r="B2242" s="8" t="s">
        <v>249</v>
      </c>
      <c r="C2242" s="54" t="s">
        <v>3356</v>
      </c>
      <c r="D2242" s="12"/>
      <c r="E2242" s="12"/>
      <c r="F2242" s="31" t="str">
        <f>HYPERLINK("https://www.familysearch.org/search/catalog/3023257","FamilySearch.org")</f>
        <v>FamilySearch.org</v>
      </c>
      <c r="G2242" s="12"/>
      <c r="H2242" s="8">
        <v>21</v>
      </c>
      <c r="I2242" s="15" t="s">
        <v>18</v>
      </c>
    </row>
    <row r="2243" spans="1:9" ht="46.8">
      <c r="A2243" s="29">
        <v>5710206</v>
      </c>
      <c r="B2243" s="8" t="s">
        <v>249</v>
      </c>
      <c r="C2243" s="35" t="s">
        <v>3357</v>
      </c>
      <c r="D2243" s="12"/>
      <c r="E2243" s="26" t="s">
        <v>14</v>
      </c>
      <c r="F2243" s="12"/>
      <c r="G2243" s="12"/>
      <c r="H2243" s="33">
        <v>21</v>
      </c>
      <c r="I2243" s="14" t="s">
        <v>11</v>
      </c>
    </row>
    <row r="2244" spans="1:9" ht="31.2">
      <c r="A2244" s="8">
        <v>5713882</v>
      </c>
      <c r="B2244" s="8" t="s">
        <v>249</v>
      </c>
      <c r="C2244" s="54" t="str">
        <f>HYPERLINK("https://catalog.archives.gov/search?q=*:*&amp;f.ancestorNaIds=5713882&amp;sort=naIdSort%20asc","Excise Tax Assessment Lists, Connecticut (Collection District 1, Hartford), 1867-1874")</f>
        <v>Excise Tax Assessment Lists, Connecticut (Collection District 1, Hartford), 1867-1874</v>
      </c>
      <c r="D2244" s="12"/>
      <c r="E2244" s="12"/>
      <c r="F2244" s="31" t="str">
        <f>HYPERLINK("https://www.familysearch.org/wiki/en/Connecticut_Taxation","FamilySearch.org")</f>
        <v>FamilySearch.org</v>
      </c>
      <c r="G2244" s="12"/>
      <c r="H2244" s="8">
        <v>58</v>
      </c>
      <c r="I2244" s="15" t="s">
        <v>11</v>
      </c>
    </row>
    <row r="2245" spans="1:9" ht="31.2">
      <c r="A2245" s="8">
        <v>5714088</v>
      </c>
      <c r="B2245" s="8" t="s">
        <v>249</v>
      </c>
      <c r="C2245" s="37" t="s">
        <v>3358</v>
      </c>
      <c r="D2245" s="12"/>
      <c r="E2245" s="12"/>
      <c r="F2245" s="26" t="s">
        <v>43</v>
      </c>
      <c r="G2245" s="12"/>
      <c r="H2245" s="8">
        <v>58</v>
      </c>
      <c r="I2245" s="7" t="s">
        <v>15</v>
      </c>
    </row>
    <row r="2246" spans="1:9" ht="31.2">
      <c r="A2246" s="8">
        <v>5714092</v>
      </c>
      <c r="B2246" s="8" t="s">
        <v>249</v>
      </c>
      <c r="C2246" s="37" t="s">
        <v>3359</v>
      </c>
      <c r="D2246" s="12"/>
      <c r="E2246" s="12"/>
      <c r="F2246" s="26" t="s">
        <v>43</v>
      </c>
      <c r="G2246" s="12"/>
      <c r="H2246" s="8">
        <v>58</v>
      </c>
      <c r="I2246" s="7" t="s">
        <v>15</v>
      </c>
    </row>
    <row r="2247" spans="1:9" ht="31.2">
      <c r="A2247" s="8">
        <v>5716530</v>
      </c>
      <c r="B2247" s="8" t="s">
        <v>249</v>
      </c>
      <c r="C2247" s="37" t="s">
        <v>3360</v>
      </c>
      <c r="D2247" s="12"/>
      <c r="E2247" s="12"/>
      <c r="F2247" s="26" t="s">
        <v>43</v>
      </c>
      <c r="G2247" s="12"/>
      <c r="H2247" s="8">
        <v>58</v>
      </c>
      <c r="I2247" s="7" t="s">
        <v>15</v>
      </c>
    </row>
    <row r="2248" spans="1:9" ht="46.8">
      <c r="A2248" s="8">
        <v>5716574</v>
      </c>
      <c r="B2248" s="8" t="s">
        <v>249</v>
      </c>
      <c r="C2248" s="37" t="s">
        <v>3361</v>
      </c>
      <c r="D2248" s="12"/>
      <c r="E2248" s="12"/>
      <c r="F2248" s="31" t="str">
        <f>HYPERLINK("https://www.familysearch.org/search/catalog/3023257","FamilySearch.org")</f>
        <v>FamilySearch.org</v>
      </c>
      <c r="G2248" s="12"/>
      <c r="H2248" s="8">
        <v>21</v>
      </c>
      <c r="I2248" s="7" t="s">
        <v>15</v>
      </c>
    </row>
    <row r="2249" spans="1:9" ht="31.2">
      <c r="A2249" s="8">
        <v>5716627</v>
      </c>
      <c r="B2249" s="8" t="s">
        <v>249</v>
      </c>
      <c r="C2249" s="37" t="s">
        <v>3362</v>
      </c>
      <c r="D2249" s="12"/>
      <c r="E2249" s="12"/>
      <c r="F2249" s="26" t="s">
        <v>43</v>
      </c>
      <c r="G2249" s="12"/>
      <c r="H2249" s="8">
        <v>58</v>
      </c>
      <c r="I2249" s="7" t="s">
        <v>15</v>
      </c>
    </row>
    <row r="2250" spans="1:9" ht="46.8">
      <c r="A2250" s="8">
        <v>5716656</v>
      </c>
      <c r="B2250" s="8" t="s">
        <v>249</v>
      </c>
      <c r="C2250" s="35" t="s">
        <v>3363</v>
      </c>
      <c r="D2250" s="12"/>
      <c r="E2250" s="12"/>
      <c r="F2250" s="31" t="str">
        <f>HYPERLINK("https://www.familysearch.org/search/catalog/1876623","FamilySearch.org")</f>
        <v>FamilySearch.org</v>
      </c>
      <c r="G2250" s="12"/>
      <c r="H2250" s="8">
        <v>21</v>
      </c>
      <c r="I2250" s="15" t="s">
        <v>18</v>
      </c>
    </row>
    <row r="2251" spans="1:9" ht="46.8">
      <c r="A2251" s="8">
        <v>5716660</v>
      </c>
      <c r="B2251" s="8" t="s">
        <v>249</v>
      </c>
      <c r="C2251" s="37" t="s">
        <v>3364</v>
      </c>
      <c r="D2251" s="12"/>
      <c r="E2251" s="12"/>
      <c r="F2251" s="31" t="str">
        <f>HYPERLINK("https://www.familysearch.org/search/catalog/2140488","FamilySearch.org")</f>
        <v>FamilySearch.org</v>
      </c>
      <c r="G2251" s="12"/>
      <c r="H2251" s="8">
        <v>21</v>
      </c>
      <c r="I2251" s="7" t="s">
        <v>15</v>
      </c>
    </row>
    <row r="2252" spans="1:9" ht="31.2">
      <c r="A2252" s="8">
        <v>5716661</v>
      </c>
      <c r="B2252" s="8" t="s">
        <v>249</v>
      </c>
      <c r="C2252" s="37" t="s">
        <v>3365</v>
      </c>
      <c r="D2252" s="12"/>
      <c r="E2252" s="12"/>
      <c r="F2252" s="31" t="str">
        <f>HYPERLINK("https://www.familysearch.org/search/catalog/2829800","FamilySearch.org")</f>
        <v>FamilySearch.org</v>
      </c>
      <c r="G2252" s="12"/>
      <c r="H2252" s="8">
        <v>21</v>
      </c>
      <c r="I2252" s="7" t="s">
        <v>15</v>
      </c>
    </row>
    <row r="2253" spans="1:9" ht="46.8">
      <c r="A2253" s="8">
        <v>5716672</v>
      </c>
      <c r="B2253" s="8" t="s">
        <v>249</v>
      </c>
      <c r="C2253" s="37" t="s">
        <v>3366</v>
      </c>
      <c r="D2253" s="12"/>
      <c r="E2253" s="12"/>
      <c r="F2253" s="31" t="str">
        <f>HYPERLINK("https://www.familysearch.org/search/catalog/1876624","FamilySearch.org")</f>
        <v>FamilySearch.org</v>
      </c>
      <c r="G2253" s="12"/>
      <c r="H2253" s="8">
        <v>21</v>
      </c>
      <c r="I2253" s="7" t="s">
        <v>15</v>
      </c>
    </row>
    <row r="2254" spans="1:9" ht="31.2">
      <c r="A2254" s="8">
        <v>5716680</v>
      </c>
      <c r="B2254" s="8" t="s">
        <v>249</v>
      </c>
      <c r="C2254" s="54" t="s">
        <v>3367</v>
      </c>
      <c r="D2254" s="12"/>
      <c r="E2254" s="12"/>
      <c r="F2254" s="31" t="str">
        <f>HYPERLINK("https://www.familysearch.org/search/catalog/2829800","FamilySearch.org")</f>
        <v>FamilySearch.org</v>
      </c>
      <c r="G2254" s="12"/>
      <c r="H2254" s="8">
        <v>21</v>
      </c>
      <c r="I2254" s="15" t="s">
        <v>11</v>
      </c>
    </row>
    <row r="2255" spans="1:9" ht="31.2">
      <c r="A2255" s="8">
        <v>5717114</v>
      </c>
      <c r="B2255" s="8" t="s">
        <v>249</v>
      </c>
      <c r="C2255" s="37" t="s">
        <v>3368</v>
      </c>
      <c r="D2255" s="12"/>
      <c r="E2255" s="12"/>
      <c r="F2255" s="26" t="s">
        <v>43</v>
      </c>
      <c r="G2255" s="12"/>
      <c r="H2255" s="8">
        <v>58</v>
      </c>
      <c r="I2255" s="7" t="s">
        <v>15</v>
      </c>
    </row>
    <row r="2256" spans="1:9" ht="31.2">
      <c r="A2256" s="8">
        <v>5717116</v>
      </c>
      <c r="B2256" s="8" t="s">
        <v>249</v>
      </c>
      <c r="C2256" s="37" t="s">
        <v>3369</v>
      </c>
      <c r="D2256" s="12"/>
      <c r="E2256" s="12"/>
      <c r="F2256" s="26" t="s">
        <v>43</v>
      </c>
      <c r="G2256" s="12"/>
      <c r="H2256" s="8">
        <v>58</v>
      </c>
      <c r="I2256" s="7" t="s">
        <v>15</v>
      </c>
    </row>
    <row r="2257" spans="1:9" ht="46.8">
      <c r="A2257" s="8">
        <v>5717120</v>
      </c>
      <c r="B2257" s="8" t="s">
        <v>249</v>
      </c>
      <c r="C2257" s="37" t="s">
        <v>3370</v>
      </c>
      <c r="D2257" s="12"/>
      <c r="E2257" s="12"/>
      <c r="F2257" s="26" t="s">
        <v>43</v>
      </c>
      <c r="G2257" s="12"/>
      <c r="H2257" s="8">
        <v>58</v>
      </c>
      <c r="I2257" s="7" t="s">
        <v>15</v>
      </c>
    </row>
    <row r="2258" spans="1:9" ht="31.2">
      <c r="A2258" s="8">
        <v>5717122</v>
      </c>
      <c r="B2258" s="8" t="s">
        <v>249</v>
      </c>
      <c r="C2258" s="37" t="s">
        <v>3371</v>
      </c>
      <c r="D2258" s="12"/>
      <c r="E2258" s="12"/>
      <c r="F2258" s="26" t="s">
        <v>43</v>
      </c>
      <c r="G2258" s="12"/>
      <c r="H2258" s="8">
        <v>58</v>
      </c>
      <c r="I2258" s="7" t="s">
        <v>15</v>
      </c>
    </row>
    <row r="2259" spans="1:9" ht="31.2">
      <c r="A2259" s="8">
        <v>5717212</v>
      </c>
      <c r="B2259" s="8" t="s">
        <v>249</v>
      </c>
      <c r="C2259" s="34" t="s">
        <v>3372</v>
      </c>
      <c r="D2259" s="12"/>
      <c r="E2259" s="12"/>
      <c r="F2259" s="31" t="str">
        <f>HYPERLINK("https://www.familysearch.org/search/catalog/2819008","FamilySearch.org")</f>
        <v>FamilySearch.org</v>
      </c>
      <c r="G2259" s="12"/>
      <c r="H2259" s="8">
        <v>36</v>
      </c>
      <c r="I2259" s="7" t="s">
        <v>11</v>
      </c>
    </row>
    <row r="2260" spans="1:9" ht="46.8">
      <c r="A2260" s="8">
        <v>5717252</v>
      </c>
      <c r="B2260" s="8" t="s">
        <v>249</v>
      </c>
      <c r="C2260" s="35" t="s">
        <v>3373</v>
      </c>
      <c r="D2260" s="12"/>
      <c r="E2260" s="12"/>
      <c r="F2260" s="31" t="str">
        <f>HYPERLINK("https://www.familysearch.org/search/catalog/1876623","FamilySearch.org")</f>
        <v>FamilySearch.org</v>
      </c>
      <c r="G2260" s="12"/>
      <c r="H2260" s="8">
        <v>21</v>
      </c>
      <c r="I2260" s="15" t="s">
        <v>11</v>
      </c>
    </row>
    <row r="2261" spans="1:9" ht="46.8">
      <c r="A2261" s="29">
        <v>5720093</v>
      </c>
      <c r="B2261" s="8" t="s">
        <v>249</v>
      </c>
      <c r="C2261" s="16" t="s">
        <v>3374</v>
      </c>
      <c r="D2261" s="12"/>
      <c r="E2261" s="26" t="s">
        <v>14</v>
      </c>
      <c r="F2261" s="12"/>
      <c r="G2261" s="12"/>
      <c r="H2261" s="33">
        <v>21</v>
      </c>
      <c r="I2261" s="14" t="s">
        <v>15</v>
      </c>
    </row>
    <row r="2262" spans="1:9" ht="46.8">
      <c r="A2262" s="8">
        <v>5720620</v>
      </c>
      <c r="B2262" s="8" t="s">
        <v>249</v>
      </c>
      <c r="C2262" s="35" t="s">
        <v>3375</v>
      </c>
      <c r="D2262" s="12"/>
      <c r="E2262" s="12"/>
      <c r="F2262" s="31" t="str">
        <f t="shared" ref="F2262:F2263" si="102">HYPERLINK("https://www.familysearch.org/search/catalog/2179221","FamilySearch.org")</f>
        <v>FamilySearch.org</v>
      </c>
      <c r="G2262" s="12"/>
      <c r="H2262" s="8">
        <v>21</v>
      </c>
      <c r="I2262" s="15" t="s">
        <v>18</v>
      </c>
    </row>
    <row r="2263" spans="1:9" ht="31.2">
      <c r="A2263" s="8">
        <v>5720621</v>
      </c>
      <c r="B2263" s="8" t="s">
        <v>249</v>
      </c>
      <c r="C2263" s="54" t="s">
        <v>3376</v>
      </c>
      <c r="D2263" s="12"/>
      <c r="E2263" s="12"/>
      <c r="F2263" s="31" t="str">
        <f t="shared" si="102"/>
        <v>FamilySearch.org</v>
      </c>
      <c r="G2263" s="12"/>
      <c r="H2263" s="8">
        <v>21</v>
      </c>
      <c r="I2263" s="15" t="s">
        <v>18</v>
      </c>
    </row>
    <row r="2264" spans="1:9" ht="31.2">
      <c r="A2264" s="36">
        <v>5721275</v>
      </c>
      <c r="B2264" s="8" t="s">
        <v>249</v>
      </c>
      <c r="C2264" s="34" t="s">
        <v>3377</v>
      </c>
      <c r="D2264" s="32" t="s">
        <v>220</v>
      </c>
      <c r="E2264" s="32" t="str">
        <f>HYPERLINK("https://search.ancestryinstitution.com/search/db.aspx?dbid=2238","Ancestry.com")</f>
        <v>Ancestry.com</v>
      </c>
      <c r="F2264" s="12"/>
      <c r="G2264" s="12"/>
      <c r="H2264" s="33">
        <v>147</v>
      </c>
      <c r="I2264" s="14" t="s">
        <v>11</v>
      </c>
    </row>
    <row r="2265" spans="1:9" ht="31.2">
      <c r="A2265" s="8">
        <v>5722999</v>
      </c>
      <c r="B2265" s="8" t="s">
        <v>249</v>
      </c>
      <c r="C2265" s="34" t="s">
        <v>3378</v>
      </c>
      <c r="D2265" s="12"/>
      <c r="E2265" s="12"/>
      <c r="F2265" s="31" t="str">
        <f>HYPERLINK("https://www.familysearch.org/search/catalog/2819010","FamilySearch.org")</f>
        <v>FamilySearch.org</v>
      </c>
      <c r="G2265" s="12"/>
      <c r="H2265" s="8">
        <v>36</v>
      </c>
      <c r="I2265" s="7" t="s">
        <v>11</v>
      </c>
    </row>
    <row r="2266" spans="1:9" ht="31.2">
      <c r="A2266" s="29">
        <v>5725732</v>
      </c>
      <c r="B2266" s="8" t="s">
        <v>249</v>
      </c>
      <c r="C2266" s="16" t="s">
        <v>3379</v>
      </c>
      <c r="D2266" s="12"/>
      <c r="E2266" s="26" t="s">
        <v>14</v>
      </c>
      <c r="F2266" s="32" t="str">
        <f>HYPERLINK("https://www.familysearch.org/search/catalog/2510834","FamilySearch.org")</f>
        <v>FamilySearch.org</v>
      </c>
      <c r="G2266" s="12"/>
      <c r="H2266" s="33">
        <v>49</v>
      </c>
      <c r="I2266" s="14" t="s">
        <v>15</v>
      </c>
    </row>
    <row r="2267" spans="1:9" ht="31.2">
      <c r="A2267" s="29">
        <v>5725738</v>
      </c>
      <c r="B2267" s="8" t="s">
        <v>249</v>
      </c>
      <c r="C2267" s="16" t="s">
        <v>3380</v>
      </c>
      <c r="D2267" s="12"/>
      <c r="E2267" s="26" t="s">
        <v>14</v>
      </c>
      <c r="F2267" s="32" t="str">
        <f>HYPERLINK("https://www.familysearch.org/search/catalog/2510837","FamilySearch.org")</f>
        <v>FamilySearch.org</v>
      </c>
      <c r="G2267" s="12"/>
      <c r="H2267" s="33">
        <v>49</v>
      </c>
      <c r="I2267" s="14" t="s">
        <v>15</v>
      </c>
    </row>
    <row r="2268" spans="1:9" ht="31.2">
      <c r="A2268" s="29">
        <v>5725774</v>
      </c>
      <c r="B2268" s="8" t="s">
        <v>249</v>
      </c>
      <c r="C2268" s="34" t="s">
        <v>3381</v>
      </c>
      <c r="D2268" s="12"/>
      <c r="E2268" s="26" t="s">
        <v>14</v>
      </c>
      <c r="F2268" s="32" t="str">
        <f>HYPERLINK("https://www.familysearch.org/search/catalog/2510836","FamilySearch.org")</f>
        <v>FamilySearch.org</v>
      </c>
      <c r="G2268" s="12"/>
      <c r="H2268" s="33">
        <v>49</v>
      </c>
      <c r="I2268" s="14" t="s">
        <v>11</v>
      </c>
    </row>
    <row r="2269" spans="1:9" ht="31.2">
      <c r="A2269" s="29">
        <v>5725780</v>
      </c>
      <c r="B2269" s="8" t="s">
        <v>249</v>
      </c>
      <c r="C2269" s="16" t="s">
        <v>3382</v>
      </c>
      <c r="D2269" s="12"/>
      <c r="E2269" s="26" t="s">
        <v>14</v>
      </c>
      <c r="F2269" s="32" t="str">
        <f>HYPERLINK("https://www.familysearch.org/search/catalog/2510837","FamilySearch.org")</f>
        <v>FamilySearch.org</v>
      </c>
      <c r="G2269" s="12"/>
      <c r="H2269" s="33">
        <v>49</v>
      </c>
      <c r="I2269" s="14" t="s">
        <v>15</v>
      </c>
    </row>
    <row r="2270" spans="1:9" ht="46.8">
      <c r="A2270" s="29">
        <v>5725823</v>
      </c>
      <c r="B2270" s="8" t="s">
        <v>249</v>
      </c>
      <c r="C2270" s="16" t="s">
        <v>3383</v>
      </c>
      <c r="D2270" s="12"/>
      <c r="E2270" s="26" t="s">
        <v>14</v>
      </c>
      <c r="F2270" s="95" t="s">
        <v>43</v>
      </c>
      <c r="G2270" s="12"/>
      <c r="H2270" s="33">
        <v>49</v>
      </c>
      <c r="I2270" s="14" t="s">
        <v>15</v>
      </c>
    </row>
    <row r="2271" spans="1:9" ht="46.8">
      <c r="A2271" s="8">
        <v>5730881</v>
      </c>
      <c r="B2271" s="8" t="s">
        <v>249</v>
      </c>
      <c r="C2271" s="35" t="s">
        <v>3384</v>
      </c>
      <c r="D2271" s="12"/>
      <c r="E2271" s="12"/>
      <c r="F2271" s="31" t="str">
        <f>HYPERLINK("https://www.familysearch.org/search/catalog/2835365","FamilySearch.org")</f>
        <v>FamilySearch.org</v>
      </c>
      <c r="G2271" s="12"/>
      <c r="H2271" s="8">
        <v>22</v>
      </c>
      <c r="I2271" s="15" t="s">
        <v>11</v>
      </c>
    </row>
    <row r="2272" spans="1:9" ht="46.8">
      <c r="A2272" s="8">
        <v>5730881</v>
      </c>
      <c r="B2272" s="8" t="s">
        <v>249</v>
      </c>
      <c r="C2272" s="35" t="s">
        <v>3385</v>
      </c>
      <c r="D2272" s="12"/>
      <c r="E2272" s="12"/>
      <c r="F2272" s="31" t="str">
        <f>HYPERLINK("https://www.familysearch.org/search/catalog/2835364","FamilySearch.org")</f>
        <v>FamilySearch.org</v>
      </c>
      <c r="G2272" s="12"/>
      <c r="H2272" s="8">
        <v>22</v>
      </c>
      <c r="I2272" s="15" t="s">
        <v>11</v>
      </c>
    </row>
    <row r="2273" spans="1:9" ht="46.8">
      <c r="A2273" s="8">
        <v>5742972</v>
      </c>
      <c r="B2273" s="8" t="s">
        <v>249</v>
      </c>
      <c r="C2273" s="37" t="s">
        <v>3386</v>
      </c>
      <c r="D2273" s="12"/>
      <c r="E2273" s="12"/>
      <c r="F2273" s="31" t="str">
        <f>HYPERLINK("https://www.familysearch.org/search/catalog/2820777","FamilySearch.org")</f>
        <v>FamilySearch.org</v>
      </c>
      <c r="G2273" s="12"/>
      <c r="H2273" s="8">
        <v>21</v>
      </c>
      <c r="I2273" s="7" t="s">
        <v>15</v>
      </c>
    </row>
    <row r="2274" spans="1:9" ht="31.2">
      <c r="A2274" s="36">
        <v>5752907</v>
      </c>
      <c r="B2274" s="8" t="s">
        <v>249</v>
      </c>
      <c r="C2274" s="35" t="s">
        <v>3387</v>
      </c>
      <c r="D2274" s="32" t="s">
        <v>220</v>
      </c>
      <c r="E2274" s="32" t="str">
        <f>HYPERLINK("https://search.ancestryinstitution.com/search/db.aspx?dbid=2238","Ancestry.com")</f>
        <v>Ancestry.com</v>
      </c>
      <c r="F2274" s="12"/>
      <c r="G2274" s="12"/>
      <c r="H2274" s="33">
        <v>147</v>
      </c>
      <c r="I2274" s="14" t="s">
        <v>11</v>
      </c>
    </row>
    <row r="2275" spans="1:9" ht="31.2">
      <c r="A2275" s="8">
        <v>5757091</v>
      </c>
      <c r="B2275" s="8" t="s">
        <v>249</v>
      </c>
      <c r="C2275" s="34" t="s">
        <v>3388</v>
      </c>
      <c r="D2275" s="12"/>
      <c r="E2275" s="12"/>
      <c r="F2275" s="31" t="str">
        <f>HYPERLINK("https://www.familysearch.org/search/catalog/2819008","FamilySearch.org")</f>
        <v>FamilySearch.org</v>
      </c>
      <c r="G2275" s="12"/>
      <c r="H2275" s="8">
        <v>36</v>
      </c>
      <c r="I2275" s="7" t="s">
        <v>11</v>
      </c>
    </row>
    <row r="2276" spans="1:9" ht="31.2">
      <c r="A2276" s="29">
        <v>5821836</v>
      </c>
      <c r="B2276" s="8" t="s">
        <v>249</v>
      </c>
      <c r="C2276" s="16" t="s">
        <v>3389</v>
      </c>
      <c r="D2276" s="12"/>
      <c r="E2276" s="26" t="s">
        <v>14</v>
      </c>
      <c r="F2276" s="32" t="s">
        <v>43</v>
      </c>
      <c r="G2276" s="12"/>
      <c r="H2276" s="33">
        <v>566</v>
      </c>
      <c r="I2276" s="14" t="s">
        <v>15</v>
      </c>
    </row>
    <row r="2277" spans="1:9" ht="15.6">
      <c r="A2277" s="29">
        <v>5833879</v>
      </c>
      <c r="B2277" s="8" t="s">
        <v>249</v>
      </c>
      <c r="C2277" s="35" t="s">
        <v>3390</v>
      </c>
      <c r="D2277" s="12"/>
      <c r="E2277" s="26" t="s">
        <v>14</v>
      </c>
      <c r="F2277" s="12"/>
      <c r="G2277" s="12"/>
      <c r="H2277" s="33">
        <v>92</v>
      </c>
      <c r="I2277" s="23" t="s">
        <v>11</v>
      </c>
    </row>
    <row r="2278" spans="1:9" ht="31.2">
      <c r="A2278" s="36">
        <v>5833895</v>
      </c>
      <c r="B2278" s="8" t="s">
        <v>249</v>
      </c>
      <c r="C2278" s="35" t="s">
        <v>3391</v>
      </c>
      <c r="D2278" s="32" t="s">
        <v>220</v>
      </c>
      <c r="E2278" s="32" t="str">
        <f>HYPERLINK("https://search.ancestryinstitution.com/search/db.aspx?dbid=2238","Ancestry.com")</f>
        <v>Ancestry.com</v>
      </c>
      <c r="F2278" s="12"/>
      <c r="G2278" s="12"/>
      <c r="H2278" s="33">
        <v>147</v>
      </c>
      <c r="I2278" s="14" t="s">
        <v>11</v>
      </c>
    </row>
    <row r="2279" spans="1:9" ht="31.2">
      <c r="A2279" s="96">
        <v>5833902</v>
      </c>
      <c r="B2279" s="8" t="s">
        <v>249</v>
      </c>
      <c r="C2279" s="35" t="s">
        <v>3392</v>
      </c>
      <c r="D2279" s="12"/>
      <c r="E2279" s="12"/>
      <c r="F2279" s="31" t="str">
        <f t="shared" ref="F2279:F2280" si="103">HYPERLINK("https://www.familysearch.org/search/catalog/2859548","FamilySearch.org")</f>
        <v>FamilySearch.org</v>
      </c>
      <c r="G2279" s="12"/>
      <c r="H2279" s="8">
        <v>21</v>
      </c>
      <c r="I2279" s="15" t="s">
        <v>18</v>
      </c>
    </row>
    <row r="2280" spans="1:9" ht="31.2">
      <c r="A2280" s="8">
        <v>5833903</v>
      </c>
      <c r="B2280" s="8" t="s">
        <v>249</v>
      </c>
      <c r="C2280" s="35" t="s">
        <v>3393</v>
      </c>
      <c r="D2280" s="12"/>
      <c r="E2280" s="12"/>
      <c r="F2280" s="31" t="str">
        <f t="shared" si="103"/>
        <v>FamilySearch.org</v>
      </c>
      <c r="G2280" s="12"/>
      <c r="H2280" s="8">
        <v>21</v>
      </c>
      <c r="I2280" s="15" t="s">
        <v>18</v>
      </c>
    </row>
    <row r="2281" spans="1:9" ht="31.2">
      <c r="A2281" s="8">
        <v>5888609</v>
      </c>
      <c r="B2281" s="8" t="s">
        <v>249</v>
      </c>
      <c r="C2281" s="34" t="s">
        <v>3394</v>
      </c>
      <c r="D2281" s="12"/>
      <c r="E2281" s="12"/>
      <c r="F2281" s="31" t="str">
        <f>HYPERLINK("https://www.familysearch.org/search/catalog/2819011","FamilySearch.org")</f>
        <v>FamilySearch.org</v>
      </c>
      <c r="G2281" s="12"/>
      <c r="H2281" s="8">
        <v>36</v>
      </c>
      <c r="I2281" s="7" t="s">
        <v>11</v>
      </c>
    </row>
    <row r="2282" spans="1:9" ht="46.8">
      <c r="A2282" s="29">
        <v>5889786</v>
      </c>
      <c r="B2282" s="8" t="s">
        <v>249</v>
      </c>
      <c r="C2282" s="35" t="s">
        <v>3395</v>
      </c>
      <c r="D2282" s="32" t="s">
        <v>220</v>
      </c>
      <c r="E2282" s="12"/>
      <c r="F2282" s="12"/>
      <c r="G2282" s="12"/>
      <c r="H2282" s="33">
        <v>330</v>
      </c>
      <c r="I2282" s="23" t="s">
        <v>11</v>
      </c>
    </row>
    <row r="2283" spans="1:9" ht="31.2">
      <c r="A2283" s="29">
        <v>5890428</v>
      </c>
      <c r="B2283" s="8" t="s">
        <v>249</v>
      </c>
      <c r="C2283" s="16" t="s">
        <v>3396</v>
      </c>
      <c r="D2283" s="12"/>
      <c r="E2283" s="12"/>
      <c r="F2283" s="32" t="s">
        <v>43</v>
      </c>
      <c r="G2283" s="12"/>
      <c r="H2283" s="33">
        <v>21</v>
      </c>
      <c r="I2283" s="14" t="s">
        <v>15</v>
      </c>
    </row>
    <row r="2284" spans="1:9" ht="31.2">
      <c r="A2284" s="8">
        <v>5891399</v>
      </c>
      <c r="B2284" s="8" t="s">
        <v>249</v>
      </c>
      <c r="C2284" s="35" t="s">
        <v>3397</v>
      </c>
      <c r="D2284" s="12"/>
      <c r="E2284" s="12"/>
      <c r="F2284" s="31" t="str">
        <f>HYPERLINK("https://www.familysearch.org/search/catalog/2179220","FamilySearch.org")</f>
        <v>FamilySearch.org</v>
      </c>
      <c r="G2284" s="12"/>
      <c r="H2284" s="8">
        <v>21</v>
      </c>
      <c r="I2284" s="7" t="s">
        <v>18</v>
      </c>
    </row>
    <row r="2285" spans="1:9" ht="31.2">
      <c r="A2285" s="29">
        <v>5891782</v>
      </c>
      <c r="B2285" s="8" t="s">
        <v>249</v>
      </c>
      <c r="C2285" s="16" t="s">
        <v>3398</v>
      </c>
      <c r="D2285" s="12"/>
      <c r="E2285" s="26" t="s">
        <v>14</v>
      </c>
      <c r="F2285" s="12"/>
      <c r="G2285" s="12"/>
      <c r="H2285" s="33">
        <v>21</v>
      </c>
      <c r="I2285" s="14" t="s">
        <v>15</v>
      </c>
    </row>
    <row r="2286" spans="1:9" ht="31.2">
      <c r="A2286" s="8">
        <v>5897456</v>
      </c>
      <c r="B2286" s="8" t="s">
        <v>249</v>
      </c>
      <c r="C2286" s="37" t="s">
        <v>3399</v>
      </c>
      <c r="D2286" s="12"/>
      <c r="E2286" s="12"/>
      <c r="F2286" s="31" t="str">
        <f>HYPERLINK("https://www.familysearch.org/search/catalog/3155487","FamilySearch.org")</f>
        <v>FamilySearch.org</v>
      </c>
      <c r="G2286" s="12"/>
      <c r="H2286" s="8">
        <v>21</v>
      </c>
      <c r="I2286" s="7" t="s">
        <v>15</v>
      </c>
    </row>
    <row r="2287" spans="1:9" ht="31.2">
      <c r="A2287" s="29">
        <v>5955511</v>
      </c>
      <c r="B2287" s="8" t="s">
        <v>249</v>
      </c>
      <c r="C2287" s="16" t="s">
        <v>3400</v>
      </c>
      <c r="D2287" s="12"/>
      <c r="E2287" s="12"/>
      <c r="F2287" s="32" t="s">
        <v>43</v>
      </c>
      <c r="G2287" s="12"/>
      <c r="H2287" s="33">
        <v>21</v>
      </c>
      <c r="I2287" s="14" t="s">
        <v>15</v>
      </c>
    </row>
    <row r="2288" spans="1:9" ht="46.8">
      <c r="A2288" s="8">
        <v>5988503</v>
      </c>
      <c r="B2288" s="8" t="s">
        <v>249</v>
      </c>
      <c r="C2288" s="37" t="s">
        <v>3401</v>
      </c>
      <c r="D2288" s="12"/>
      <c r="E2288" s="12"/>
      <c r="F2288" s="31" t="str">
        <f>HYPERLINK("https://www.familysearch.org/search/catalog/436973","FamilySearch.org")</f>
        <v>FamilySearch.org</v>
      </c>
      <c r="G2288" s="12"/>
      <c r="H2288" s="8">
        <v>21</v>
      </c>
      <c r="I2288" s="7" t="s">
        <v>15</v>
      </c>
    </row>
    <row r="2289" spans="1:9" ht="31.2">
      <c r="A2289" s="81">
        <v>6002234</v>
      </c>
      <c r="B2289" s="8" t="s">
        <v>249</v>
      </c>
      <c r="C2289" s="37" t="s">
        <v>3402</v>
      </c>
      <c r="D2289" s="32" t="s">
        <v>220</v>
      </c>
      <c r="E2289" s="32" t="str">
        <f>HYPERLINK("https://search.ancestryinstitution.com/search/db.aspx?dbid=2238","Ancestry.com")</f>
        <v>Ancestry.com</v>
      </c>
      <c r="F2289" s="12"/>
      <c r="G2289" s="12"/>
      <c r="H2289" s="33">
        <v>147</v>
      </c>
      <c r="I2289" s="14" t="s">
        <v>15</v>
      </c>
    </row>
    <row r="2290" spans="1:9" ht="31.2">
      <c r="A2290" s="8">
        <v>6012485</v>
      </c>
      <c r="B2290" s="8" t="s">
        <v>249</v>
      </c>
      <c r="C2290" s="37" t="s">
        <v>3403</v>
      </c>
      <c r="D2290" s="12"/>
      <c r="E2290" s="31" t="str">
        <f t="shared" ref="E2290:E2292" si="104">HYPERLINK("https://www.ancestryinstitution.com/search/collections/newmexicospanishland/","Ancestry.com")</f>
        <v>Ancestry.com</v>
      </c>
      <c r="F2290" s="12"/>
      <c r="G2290" s="12"/>
      <c r="H2290" s="8">
        <v>49</v>
      </c>
      <c r="I2290" s="7" t="s">
        <v>15</v>
      </c>
    </row>
    <row r="2291" spans="1:9" ht="31.2">
      <c r="A2291" s="8">
        <v>6012488</v>
      </c>
      <c r="B2291" s="8" t="s">
        <v>249</v>
      </c>
      <c r="C2291" s="37" t="s">
        <v>3404</v>
      </c>
      <c r="D2291" s="12"/>
      <c r="E2291" s="31" t="str">
        <f t="shared" si="104"/>
        <v>Ancestry.com</v>
      </c>
      <c r="F2291" s="12"/>
      <c r="G2291" s="12"/>
      <c r="H2291" s="8">
        <v>49</v>
      </c>
      <c r="I2291" s="7" t="s">
        <v>15</v>
      </c>
    </row>
    <row r="2292" spans="1:9" ht="31.2">
      <c r="A2292" s="8">
        <v>6012489</v>
      </c>
      <c r="B2292" s="8" t="s">
        <v>249</v>
      </c>
      <c r="C2292" s="37" t="s">
        <v>3405</v>
      </c>
      <c r="D2292" s="12"/>
      <c r="E2292" s="31" t="str">
        <f t="shared" si="104"/>
        <v>Ancestry.com</v>
      </c>
      <c r="F2292" s="12"/>
      <c r="G2292" s="12"/>
      <c r="H2292" s="8">
        <v>49</v>
      </c>
      <c r="I2292" s="7" t="s">
        <v>15</v>
      </c>
    </row>
    <row r="2293" spans="1:9" ht="46.8">
      <c r="A2293" s="8">
        <v>6012496</v>
      </c>
      <c r="B2293" s="8" t="s">
        <v>249</v>
      </c>
      <c r="C2293" s="54" t="s">
        <v>3406</v>
      </c>
      <c r="D2293" s="12"/>
      <c r="E2293" s="12"/>
      <c r="F2293" s="31" t="str">
        <f>HYPERLINK("https://www.familysearch.org/search/catalog/2179220","FamilySearch.org")</f>
        <v>FamilySearch.org</v>
      </c>
      <c r="G2293" s="12"/>
      <c r="H2293" s="8">
        <v>21</v>
      </c>
      <c r="I2293" s="15" t="s">
        <v>18</v>
      </c>
    </row>
    <row r="2294" spans="1:9" ht="31.2">
      <c r="A2294" s="8">
        <v>6034653</v>
      </c>
      <c r="B2294" s="8" t="s">
        <v>249</v>
      </c>
      <c r="C2294" s="37" t="s">
        <v>3407</v>
      </c>
      <c r="D2294" s="12"/>
      <c r="E2294" s="31" t="str">
        <f t="shared" ref="E2294:E2311" si="105">HYPERLINK("https://www.ancestryinstitution.com/search/collections/newmexicospanishland/","Ancestry.com")</f>
        <v>Ancestry.com</v>
      </c>
      <c r="F2294" s="12"/>
      <c r="G2294" s="12"/>
      <c r="H2294" s="8">
        <v>49</v>
      </c>
      <c r="I2294" s="7" t="s">
        <v>15</v>
      </c>
    </row>
    <row r="2295" spans="1:9" ht="31.2">
      <c r="A2295" s="8">
        <v>6034654</v>
      </c>
      <c r="B2295" s="8" t="s">
        <v>249</v>
      </c>
      <c r="C2295" s="37" t="s">
        <v>3408</v>
      </c>
      <c r="D2295" s="12"/>
      <c r="E2295" s="31" t="str">
        <f t="shared" si="105"/>
        <v>Ancestry.com</v>
      </c>
      <c r="F2295" s="12"/>
      <c r="G2295" s="12"/>
      <c r="H2295" s="8">
        <v>49</v>
      </c>
      <c r="I2295" s="7" t="s">
        <v>15</v>
      </c>
    </row>
    <row r="2296" spans="1:9" ht="31.2">
      <c r="A2296" s="8">
        <v>6034655</v>
      </c>
      <c r="B2296" s="8" t="s">
        <v>249</v>
      </c>
      <c r="C2296" s="37" t="s">
        <v>3409</v>
      </c>
      <c r="D2296" s="12"/>
      <c r="E2296" s="31" t="str">
        <f t="shared" si="105"/>
        <v>Ancestry.com</v>
      </c>
      <c r="F2296" s="12"/>
      <c r="G2296" s="12"/>
      <c r="H2296" s="8">
        <v>49</v>
      </c>
      <c r="I2296" s="7" t="s">
        <v>15</v>
      </c>
    </row>
    <row r="2297" spans="1:9" ht="31.2">
      <c r="A2297" s="8">
        <v>6034663</v>
      </c>
      <c r="B2297" s="8" t="s">
        <v>249</v>
      </c>
      <c r="C2297" s="37" t="s">
        <v>3410</v>
      </c>
      <c r="D2297" s="12"/>
      <c r="E2297" s="31" t="str">
        <f t="shared" si="105"/>
        <v>Ancestry.com</v>
      </c>
      <c r="F2297" s="12"/>
      <c r="G2297" s="12"/>
      <c r="H2297" s="8">
        <v>49</v>
      </c>
      <c r="I2297" s="7" t="s">
        <v>15</v>
      </c>
    </row>
    <row r="2298" spans="1:9" ht="31.2">
      <c r="A2298" s="8">
        <v>6034664</v>
      </c>
      <c r="B2298" s="8" t="s">
        <v>249</v>
      </c>
      <c r="C2298" s="37" t="s">
        <v>3411</v>
      </c>
      <c r="D2298" s="12"/>
      <c r="E2298" s="31" t="str">
        <f t="shared" si="105"/>
        <v>Ancestry.com</v>
      </c>
      <c r="F2298" s="12"/>
      <c r="G2298" s="12"/>
      <c r="H2298" s="8">
        <v>49</v>
      </c>
      <c r="I2298" s="7" t="s">
        <v>15</v>
      </c>
    </row>
    <row r="2299" spans="1:9" ht="31.2">
      <c r="A2299" s="8">
        <v>6034674</v>
      </c>
      <c r="B2299" s="8" t="s">
        <v>249</v>
      </c>
      <c r="C2299" s="37" t="s">
        <v>3412</v>
      </c>
      <c r="D2299" s="12"/>
      <c r="E2299" s="31" t="str">
        <f t="shared" si="105"/>
        <v>Ancestry.com</v>
      </c>
      <c r="F2299" s="12"/>
      <c r="G2299" s="12"/>
      <c r="H2299" s="8">
        <v>49</v>
      </c>
      <c r="I2299" s="7" t="s">
        <v>15</v>
      </c>
    </row>
    <row r="2300" spans="1:9" ht="31.2">
      <c r="A2300" s="8">
        <v>6034681</v>
      </c>
      <c r="B2300" s="8" t="s">
        <v>249</v>
      </c>
      <c r="C2300" s="37" t="s">
        <v>3413</v>
      </c>
      <c r="D2300" s="12"/>
      <c r="E2300" s="31" t="str">
        <f t="shared" si="105"/>
        <v>Ancestry.com</v>
      </c>
      <c r="F2300" s="12"/>
      <c r="G2300" s="12"/>
      <c r="H2300" s="8">
        <v>49</v>
      </c>
      <c r="I2300" s="7" t="s">
        <v>15</v>
      </c>
    </row>
    <row r="2301" spans="1:9" ht="31.2">
      <c r="A2301" s="8">
        <v>6034718</v>
      </c>
      <c r="B2301" s="8" t="s">
        <v>249</v>
      </c>
      <c r="C2301" s="37" t="s">
        <v>3414</v>
      </c>
      <c r="D2301" s="12"/>
      <c r="E2301" s="31" t="str">
        <f t="shared" si="105"/>
        <v>Ancestry.com</v>
      </c>
      <c r="F2301" s="12"/>
      <c r="G2301" s="12"/>
      <c r="H2301" s="8">
        <v>49</v>
      </c>
      <c r="I2301" s="7" t="s">
        <v>15</v>
      </c>
    </row>
    <row r="2302" spans="1:9" ht="31.2">
      <c r="A2302" s="8">
        <v>6034719</v>
      </c>
      <c r="B2302" s="8" t="s">
        <v>249</v>
      </c>
      <c r="C2302" s="37" t="s">
        <v>3415</v>
      </c>
      <c r="D2302" s="12"/>
      <c r="E2302" s="31" t="str">
        <f t="shared" si="105"/>
        <v>Ancestry.com</v>
      </c>
      <c r="F2302" s="12"/>
      <c r="G2302" s="12"/>
      <c r="H2302" s="8">
        <v>49</v>
      </c>
      <c r="I2302" s="7" t="s">
        <v>15</v>
      </c>
    </row>
    <row r="2303" spans="1:9" ht="31.2">
      <c r="A2303" s="8">
        <v>6034720</v>
      </c>
      <c r="B2303" s="8" t="s">
        <v>249</v>
      </c>
      <c r="C2303" s="37" t="s">
        <v>3416</v>
      </c>
      <c r="D2303" s="12"/>
      <c r="E2303" s="31" t="str">
        <f t="shared" si="105"/>
        <v>Ancestry.com</v>
      </c>
      <c r="F2303" s="12"/>
      <c r="G2303" s="12"/>
      <c r="H2303" s="8">
        <v>49</v>
      </c>
      <c r="I2303" s="7" t="s">
        <v>15</v>
      </c>
    </row>
    <row r="2304" spans="1:9" ht="31.2">
      <c r="A2304" s="8">
        <v>6034723</v>
      </c>
      <c r="B2304" s="8" t="s">
        <v>249</v>
      </c>
      <c r="C2304" s="37" t="s">
        <v>3417</v>
      </c>
      <c r="D2304" s="12"/>
      <c r="E2304" s="31" t="str">
        <f t="shared" si="105"/>
        <v>Ancestry.com</v>
      </c>
      <c r="F2304" s="12"/>
      <c r="G2304" s="12"/>
      <c r="H2304" s="8">
        <v>49</v>
      </c>
      <c r="I2304" s="7" t="s">
        <v>15</v>
      </c>
    </row>
    <row r="2305" spans="1:9" ht="31.2">
      <c r="A2305" s="8">
        <v>6034726</v>
      </c>
      <c r="B2305" s="8" t="s">
        <v>249</v>
      </c>
      <c r="C2305" s="37" t="s">
        <v>3418</v>
      </c>
      <c r="D2305" s="12"/>
      <c r="E2305" s="31" t="str">
        <f t="shared" si="105"/>
        <v>Ancestry.com</v>
      </c>
      <c r="F2305" s="12"/>
      <c r="G2305" s="12"/>
      <c r="H2305" s="8">
        <v>49</v>
      </c>
      <c r="I2305" s="7" t="s">
        <v>15</v>
      </c>
    </row>
    <row r="2306" spans="1:9" ht="31.2">
      <c r="A2306" s="8">
        <v>6034731</v>
      </c>
      <c r="B2306" s="8" t="s">
        <v>249</v>
      </c>
      <c r="C2306" s="37" t="s">
        <v>3419</v>
      </c>
      <c r="D2306" s="12"/>
      <c r="E2306" s="31" t="str">
        <f t="shared" si="105"/>
        <v>Ancestry.com</v>
      </c>
      <c r="F2306" s="12"/>
      <c r="G2306" s="12"/>
      <c r="H2306" s="8">
        <v>49</v>
      </c>
      <c r="I2306" s="7" t="s">
        <v>15</v>
      </c>
    </row>
    <row r="2307" spans="1:9" ht="31.2">
      <c r="A2307" s="8">
        <v>6034733</v>
      </c>
      <c r="B2307" s="8" t="s">
        <v>249</v>
      </c>
      <c r="C2307" s="37" t="s">
        <v>3420</v>
      </c>
      <c r="D2307" s="12"/>
      <c r="E2307" s="31" t="str">
        <f t="shared" si="105"/>
        <v>Ancestry.com</v>
      </c>
      <c r="F2307" s="12"/>
      <c r="G2307" s="12"/>
      <c r="H2307" s="8">
        <v>49</v>
      </c>
      <c r="I2307" s="7" t="s">
        <v>15</v>
      </c>
    </row>
    <row r="2308" spans="1:9" ht="31.2">
      <c r="A2308" s="8">
        <v>6034797</v>
      </c>
      <c r="B2308" s="8" t="s">
        <v>249</v>
      </c>
      <c r="C2308" s="37" t="s">
        <v>3421</v>
      </c>
      <c r="D2308" s="12"/>
      <c r="E2308" s="31" t="str">
        <f t="shared" si="105"/>
        <v>Ancestry.com</v>
      </c>
      <c r="F2308" s="12"/>
      <c r="G2308" s="12"/>
      <c r="H2308" s="8">
        <v>49</v>
      </c>
      <c r="I2308" s="7" t="s">
        <v>15</v>
      </c>
    </row>
    <row r="2309" spans="1:9" ht="31.2">
      <c r="A2309" s="8">
        <v>6034798</v>
      </c>
      <c r="B2309" s="8" t="s">
        <v>249</v>
      </c>
      <c r="C2309" s="37" t="s">
        <v>3422</v>
      </c>
      <c r="D2309" s="12"/>
      <c r="E2309" s="31" t="str">
        <f t="shared" si="105"/>
        <v>Ancestry.com</v>
      </c>
      <c r="F2309" s="12"/>
      <c r="G2309" s="12"/>
      <c r="H2309" s="8">
        <v>49</v>
      </c>
      <c r="I2309" s="7" t="s">
        <v>15</v>
      </c>
    </row>
    <row r="2310" spans="1:9" ht="31.2">
      <c r="A2310" s="8">
        <v>6034799</v>
      </c>
      <c r="B2310" s="8" t="s">
        <v>249</v>
      </c>
      <c r="C2310" s="37" t="s">
        <v>3423</v>
      </c>
      <c r="D2310" s="12"/>
      <c r="E2310" s="31" t="str">
        <f t="shared" si="105"/>
        <v>Ancestry.com</v>
      </c>
      <c r="F2310" s="12"/>
      <c r="G2310" s="12"/>
      <c r="H2310" s="8">
        <v>49</v>
      </c>
      <c r="I2310" s="7" t="s">
        <v>15</v>
      </c>
    </row>
    <row r="2311" spans="1:9" ht="31.2">
      <c r="A2311" s="8">
        <v>6034800</v>
      </c>
      <c r="B2311" s="8" t="s">
        <v>249</v>
      </c>
      <c r="C2311" s="37" t="s">
        <v>3424</v>
      </c>
      <c r="D2311" s="12"/>
      <c r="E2311" s="31" t="str">
        <f t="shared" si="105"/>
        <v>Ancestry.com</v>
      </c>
      <c r="F2311" s="12"/>
      <c r="G2311" s="12"/>
      <c r="H2311" s="8">
        <v>49</v>
      </c>
      <c r="I2311" s="7" t="s">
        <v>15</v>
      </c>
    </row>
    <row r="2312" spans="1:9" ht="46.8">
      <c r="A2312" s="8">
        <v>6036233</v>
      </c>
      <c r="B2312" s="8" t="s">
        <v>249</v>
      </c>
      <c r="C2312" s="35" t="s">
        <v>3425</v>
      </c>
      <c r="D2312" s="12"/>
      <c r="E2312" s="12"/>
      <c r="F2312" s="31" t="str">
        <f>HYPERLINK("https://www.familysearch.org/search/catalog/3029447","FamilySearch.org")</f>
        <v>FamilySearch.org</v>
      </c>
      <c r="G2312" s="12"/>
      <c r="H2312" s="8">
        <v>21</v>
      </c>
      <c r="I2312" s="15" t="s">
        <v>18</v>
      </c>
    </row>
    <row r="2313" spans="1:9" ht="62.4">
      <c r="A2313" s="8">
        <v>6036894</v>
      </c>
      <c r="B2313" s="8" t="s">
        <v>249</v>
      </c>
      <c r="C2313" s="54" t="str">
        <f>HYPERLINK("https://catalog.archives.gov/search?q=*:*&amp;f.ancestorNaIds=6036894&amp;sort=naIdSort%20asc","Petitions for Naturalization Transferred from Other Courts, Iowa (Central Division of the Northern District, Mason City Term), 1943 - 1944")</f>
        <v>Petitions for Naturalization Transferred from Other Courts, Iowa (Central Division of the Northern District, Mason City Term), 1943 - 1944</v>
      </c>
      <c r="D2313" s="12"/>
      <c r="E2313" s="12"/>
      <c r="F2313" s="31" t="str">
        <f>HYPERLINK("https://www.familysearch.org/search/catalog/2820318","FamilySearch.org")</f>
        <v>FamilySearch.org</v>
      </c>
      <c r="G2313" s="12"/>
      <c r="H2313" s="8">
        <v>21</v>
      </c>
      <c r="I2313" s="15" t="s">
        <v>11</v>
      </c>
    </row>
    <row r="2314" spans="1:9" ht="46.8">
      <c r="A2314" s="8">
        <v>6036897</v>
      </c>
      <c r="B2314" s="8" t="s">
        <v>249</v>
      </c>
      <c r="C2314" s="37" t="s">
        <v>3426</v>
      </c>
      <c r="D2314" s="12"/>
      <c r="E2314" s="12"/>
      <c r="F2314" s="31" t="str">
        <f>HYPERLINK("https://www.familysearch.org/search/catalog/2820320","FamilySearch.org")</f>
        <v>FamilySearch.org</v>
      </c>
      <c r="G2314" s="12"/>
      <c r="H2314" s="8">
        <v>21</v>
      </c>
      <c r="I2314" s="7" t="s">
        <v>15</v>
      </c>
    </row>
    <row r="2315" spans="1:9" ht="46.8">
      <c r="A2315" s="8">
        <v>6037007</v>
      </c>
      <c r="B2315" s="8" t="s">
        <v>249</v>
      </c>
      <c r="C2315" s="35" t="s">
        <v>3427</v>
      </c>
      <c r="D2315" s="12"/>
      <c r="E2315" s="12"/>
      <c r="F2315" s="31" t="str">
        <f>HYPERLINK("https://www.familysearch.org/search/film/106041413?cat=3029447","FamilySearch.org")</f>
        <v>FamilySearch.org</v>
      </c>
      <c r="G2315" s="12"/>
      <c r="H2315" s="8">
        <v>21</v>
      </c>
      <c r="I2315" s="15" t="s">
        <v>11</v>
      </c>
    </row>
    <row r="2316" spans="1:9" ht="31.2">
      <c r="A2316" s="8">
        <v>6037009</v>
      </c>
      <c r="B2316" s="8" t="s">
        <v>249</v>
      </c>
      <c r="C2316" s="54" t="s">
        <v>3428</v>
      </c>
      <c r="D2316" s="12"/>
      <c r="E2316" s="12"/>
      <c r="F2316" s="31" t="s">
        <v>43</v>
      </c>
      <c r="G2316" s="12"/>
      <c r="H2316" s="8">
        <v>21</v>
      </c>
      <c r="I2316" s="15" t="s">
        <v>11</v>
      </c>
    </row>
    <row r="2317" spans="1:9" ht="46.8">
      <c r="A2317" s="8">
        <v>6037017</v>
      </c>
      <c r="B2317" s="8" t="s">
        <v>249</v>
      </c>
      <c r="C2317" s="35" t="s">
        <v>3429</v>
      </c>
      <c r="D2317" s="12"/>
      <c r="E2317" s="12"/>
      <c r="F2317" s="31" t="str">
        <f t="shared" ref="F2317:F2321" si="106">HYPERLINK("https://www.familysearch.org/search/catalog/3029447","FamilySearch.org")</f>
        <v>FamilySearch.org</v>
      </c>
      <c r="G2317" s="12"/>
      <c r="H2317" s="8">
        <v>21</v>
      </c>
      <c r="I2317" s="15" t="s">
        <v>18</v>
      </c>
    </row>
    <row r="2318" spans="1:9" ht="31.2">
      <c r="A2318" s="8">
        <v>6037048</v>
      </c>
      <c r="B2318" s="8" t="s">
        <v>249</v>
      </c>
      <c r="C2318" s="35" t="s">
        <v>3430</v>
      </c>
      <c r="D2318" s="12"/>
      <c r="E2318" s="12"/>
      <c r="F2318" s="31" t="str">
        <f t="shared" si="106"/>
        <v>FamilySearch.org</v>
      </c>
      <c r="G2318" s="12"/>
      <c r="H2318" s="8">
        <v>21</v>
      </c>
      <c r="I2318" s="15" t="s">
        <v>18</v>
      </c>
    </row>
    <row r="2319" spans="1:9" ht="46.8">
      <c r="A2319" s="8">
        <v>6037061</v>
      </c>
      <c r="B2319" s="8" t="s">
        <v>249</v>
      </c>
      <c r="C2319" s="35" t="s">
        <v>3431</v>
      </c>
      <c r="D2319" s="12"/>
      <c r="E2319" s="12"/>
      <c r="F2319" s="31" t="str">
        <f t="shared" si="106"/>
        <v>FamilySearch.org</v>
      </c>
      <c r="G2319" s="12"/>
      <c r="H2319" s="8">
        <v>21</v>
      </c>
      <c r="I2319" s="15" t="s">
        <v>18</v>
      </c>
    </row>
    <row r="2320" spans="1:9" ht="46.8">
      <c r="A2320" s="8">
        <v>6037068</v>
      </c>
      <c r="B2320" s="8" t="s">
        <v>249</v>
      </c>
      <c r="C2320" s="35" t="s">
        <v>3432</v>
      </c>
      <c r="D2320" s="12"/>
      <c r="E2320" s="12"/>
      <c r="F2320" s="31" t="str">
        <f t="shared" si="106"/>
        <v>FamilySearch.org</v>
      </c>
      <c r="G2320" s="12"/>
      <c r="H2320" s="8">
        <v>21</v>
      </c>
      <c r="I2320" s="15" t="s">
        <v>11</v>
      </c>
    </row>
    <row r="2321" spans="1:9" ht="46.8">
      <c r="A2321" s="8">
        <v>6037072</v>
      </c>
      <c r="B2321" s="8" t="s">
        <v>249</v>
      </c>
      <c r="C2321" s="35" t="s">
        <v>3433</v>
      </c>
      <c r="D2321" s="12"/>
      <c r="E2321" s="12"/>
      <c r="F2321" s="31" t="str">
        <f t="shared" si="106"/>
        <v>FamilySearch.org</v>
      </c>
      <c r="G2321" s="12"/>
      <c r="H2321" s="8">
        <v>21</v>
      </c>
      <c r="I2321" s="15" t="s">
        <v>11</v>
      </c>
    </row>
    <row r="2322" spans="1:9" ht="46.8">
      <c r="A2322" s="8">
        <v>6037276</v>
      </c>
      <c r="B2322" s="8" t="s">
        <v>249</v>
      </c>
      <c r="C2322" s="37" t="s">
        <v>3434</v>
      </c>
      <c r="D2322" s="12"/>
      <c r="E2322" s="12"/>
      <c r="F2322" s="31" t="str">
        <f>HYPERLINK("https://www.familysearch.org/search/catalog/2820320","FamilySearch.org")</f>
        <v>FamilySearch.org</v>
      </c>
      <c r="G2322" s="12"/>
      <c r="H2322" s="8">
        <v>21</v>
      </c>
      <c r="I2322" s="7" t="s">
        <v>15</v>
      </c>
    </row>
    <row r="2323" spans="1:9" ht="46.8">
      <c r="A2323" s="8">
        <v>6037312</v>
      </c>
      <c r="B2323" s="8" t="s">
        <v>249</v>
      </c>
      <c r="C2323" s="37" t="s">
        <v>3435</v>
      </c>
      <c r="D2323" s="12"/>
      <c r="E2323" s="12"/>
      <c r="F2323" s="31" t="str">
        <f>HYPERLINK("https://www.familysearch.org/search/catalog/2820321","FamilySearch.org")</f>
        <v>FamilySearch.org</v>
      </c>
      <c r="G2323" s="12"/>
      <c r="H2323" s="8">
        <v>21</v>
      </c>
      <c r="I2323" s="7" t="s">
        <v>15</v>
      </c>
    </row>
    <row r="2324" spans="1:9" ht="46.8">
      <c r="A2324" s="29">
        <v>6037697</v>
      </c>
      <c r="B2324" s="8" t="s">
        <v>249</v>
      </c>
      <c r="C2324" s="16" t="s">
        <v>3436</v>
      </c>
      <c r="D2324" s="12"/>
      <c r="E2324" s="26" t="s">
        <v>14</v>
      </c>
      <c r="F2324" s="12"/>
      <c r="G2324" s="12"/>
      <c r="H2324" s="33">
        <v>21</v>
      </c>
      <c r="I2324" s="14" t="s">
        <v>15</v>
      </c>
    </row>
    <row r="2325" spans="1:9" ht="46.8">
      <c r="A2325" s="29">
        <v>6037705</v>
      </c>
      <c r="B2325" s="8" t="s">
        <v>249</v>
      </c>
      <c r="C2325" s="16" t="s">
        <v>3437</v>
      </c>
      <c r="D2325" s="12"/>
      <c r="E2325" s="26" t="s">
        <v>14</v>
      </c>
      <c r="F2325" s="12"/>
      <c r="G2325" s="12"/>
      <c r="H2325" s="33">
        <v>21</v>
      </c>
      <c r="I2325" s="14" t="s">
        <v>15</v>
      </c>
    </row>
    <row r="2326" spans="1:9" ht="46.8">
      <c r="A2326" s="29">
        <v>6037706</v>
      </c>
      <c r="B2326" s="8" t="s">
        <v>249</v>
      </c>
      <c r="C2326" s="16" t="s">
        <v>3438</v>
      </c>
      <c r="D2326" s="12"/>
      <c r="E2326" s="26" t="s">
        <v>14</v>
      </c>
      <c r="F2326" s="12"/>
      <c r="G2326" s="12"/>
      <c r="H2326" s="33">
        <v>21</v>
      </c>
      <c r="I2326" s="14" t="s">
        <v>15</v>
      </c>
    </row>
    <row r="2327" spans="1:9" ht="31.2">
      <c r="A2327" s="29">
        <v>6037952</v>
      </c>
      <c r="B2327" s="8" t="s">
        <v>249</v>
      </c>
      <c r="C2327" s="34" t="s">
        <v>3439</v>
      </c>
      <c r="D2327" s="12"/>
      <c r="E2327" s="12"/>
      <c r="F2327" s="32" t="s">
        <v>43</v>
      </c>
      <c r="G2327" s="12"/>
      <c r="H2327" s="33">
        <v>49</v>
      </c>
      <c r="I2327" s="14" t="s">
        <v>11</v>
      </c>
    </row>
    <row r="2328" spans="1:9" ht="31.2">
      <c r="A2328" s="29">
        <v>6037958</v>
      </c>
      <c r="B2328" s="8" t="s">
        <v>249</v>
      </c>
      <c r="C2328" s="34" t="s">
        <v>3440</v>
      </c>
      <c r="D2328" s="12"/>
      <c r="E2328" s="12"/>
      <c r="F2328" s="32" t="s">
        <v>43</v>
      </c>
      <c r="G2328" s="12"/>
      <c r="H2328" s="33">
        <v>49</v>
      </c>
      <c r="I2328" s="14" t="s">
        <v>11</v>
      </c>
    </row>
    <row r="2329" spans="1:9" ht="31.2">
      <c r="A2329" s="29">
        <v>6037971</v>
      </c>
      <c r="B2329" s="8" t="s">
        <v>249</v>
      </c>
      <c r="C2329" s="34" t="s">
        <v>3441</v>
      </c>
      <c r="D2329" s="12"/>
      <c r="E2329" s="12"/>
      <c r="F2329" s="32" t="s">
        <v>43</v>
      </c>
      <c r="G2329" s="12"/>
      <c r="H2329" s="33">
        <v>49</v>
      </c>
      <c r="I2329" s="14" t="s">
        <v>11</v>
      </c>
    </row>
    <row r="2330" spans="1:9" ht="31.2">
      <c r="A2330" s="29">
        <v>6051621</v>
      </c>
      <c r="B2330" s="8" t="s">
        <v>249</v>
      </c>
      <c r="C2330" s="49" t="str">
        <f>HYPERLINK("https://catalog.archives.gov/search?q=*:*&amp;f.ancestorNaIds=6051621&amp;sort=naIdSort%20asc","Military Petitions for Naturalization (District of Columbia)")</f>
        <v>Military Petitions for Naturalization (District of Columbia)</v>
      </c>
      <c r="D2330" s="12"/>
      <c r="E2330" s="32" t="str">
        <f>HYPERLINK("https://search.ancestryinstitution.com/search/db.aspx?dbid=3034","Ancestry.com")</f>
        <v>Ancestry.com</v>
      </c>
      <c r="F2330" s="12"/>
      <c r="G2330" s="12"/>
      <c r="H2330" s="33">
        <v>21</v>
      </c>
      <c r="I2330" s="23" t="s">
        <v>11</v>
      </c>
    </row>
    <row r="2331" spans="1:9" ht="46.8">
      <c r="A2331" s="29">
        <v>6090970</v>
      </c>
      <c r="B2331" s="8" t="s">
        <v>249</v>
      </c>
      <c r="C2331" s="16" t="s">
        <v>3442</v>
      </c>
      <c r="D2331" s="12"/>
      <c r="E2331" s="26" t="s">
        <v>14</v>
      </c>
      <c r="F2331" s="12"/>
      <c r="G2331" s="12"/>
      <c r="H2331" s="33">
        <v>21</v>
      </c>
      <c r="I2331" s="14" t="s">
        <v>15</v>
      </c>
    </row>
    <row r="2332" spans="1:9" ht="46.8">
      <c r="A2332" s="29">
        <v>6091060</v>
      </c>
      <c r="B2332" s="8" t="s">
        <v>249</v>
      </c>
      <c r="C2332" s="16" t="s">
        <v>3443</v>
      </c>
      <c r="D2332" s="12"/>
      <c r="E2332" s="26" t="s">
        <v>14</v>
      </c>
      <c r="F2332" s="12"/>
      <c r="G2332" s="12"/>
      <c r="H2332" s="33">
        <v>21</v>
      </c>
      <c r="I2332" s="14" t="s">
        <v>15</v>
      </c>
    </row>
    <row r="2333" spans="1:9" ht="46.8">
      <c r="A2333" s="29">
        <v>6091079</v>
      </c>
      <c r="B2333" s="8" t="s">
        <v>249</v>
      </c>
      <c r="C2333" s="16" t="s">
        <v>3444</v>
      </c>
      <c r="D2333" s="12"/>
      <c r="E2333" s="26" t="s">
        <v>14</v>
      </c>
      <c r="F2333" s="12"/>
      <c r="G2333" s="12"/>
      <c r="H2333" s="33">
        <v>21</v>
      </c>
      <c r="I2333" s="14" t="s">
        <v>15</v>
      </c>
    </row>
    <row r="2334" spans="1:9" ht="46.8">
      <c r="A2334" s="29">
        <v>6091096</v>
      </c>
      <c r="B2334" s="8" t="s">
        <v>249</v>
      </c>
      <c r="C2334" s="16" t="s">
        <v>3445</v>
      </c>
      <c r="D2334" s="12"/>
      <c r="E2334" s="26" t="s">
        <v>14</v>
      </c>
      <c r="F2334" s="12"/>
      <c r="G2334" s="12"/>
      <c r="H2334" s="33">
        <v>21</v>
      </c>
      <c r="I2334" s="14" t="s">
        <v>15</v>
      </c>
    </row>
    <row r="2335" spans="1:9" ht="46.8">
      <c r="A2335" s="8">
        <v>6102316</v>
      </c>
      <c r="B2335" s="8" t="s">
        <v>249</v>
      </c>
      <c r="C2335" s="54" t="str">
        <f>HYPERLINK("https://catalog.archives.gov/search?q=*:*&amp;f.ancestorNaIds=6102316&amp;sort=naIdSort%20asc","Narrative Reports, 1911 - 2001")</f>
        <v>Narrative Reports, 1911 - 2001</v>
      </c>
      <c r="D2335" s="12"/>
      <c r="E2335" s="12"/>
      <c r="F2335" s="12"/>
      <c r="G2335" s="78" t="s">
        <v>3446</v>
      </c>
      <c r="H2335" s="8">
        <v>22</v>
      </c>
      <c r="I2335" s="15" t="s">
        <v>11</v>
      </c>
    </row>
    <row r="2336" spans="1:9" ht="31.2">
      <c r="A2336" s="29">
        <v>6106282</v>
      </c>
      <c r="B2336" s="8" t="s">
        <v>249</v>
      </c>
      <c r="C2336" s="34" t="s">
        <v>3447</v>
      </c>
      <c r="D2336" s="12"/>
      <c r="E2336" s="26" t="s">
        <v>14</v>
      </c>
      <c r="F2336" s="32" t="str">
        <f>HYPERLINK("https://www.familysearch.org/search/catalog/2510807","FamilySearch.org")</f>
        <v>FamilySearch.org</v>
      </c>
      <c r="G2336" s="12"/>
      <c r="H2336" s="33">
        <v>49</v>
      </c>
      <c r="I2336" s="14" t="s">
        <v>11</v>
      </c>
    </row>
    <row r="2337" spans="1:9" ht="46.8">
      <c r="A2337" s="8">
        <v>6107093</v>
      </c>
      <c r="B2337" s="8" t="s">
        <v>249</v>
      </c>
      <c r="C2337" s="37" t="s">
        <v>3448</v>
      </c>
      <c r="D2337" s="12"/>
      <c r="E2337" s="12"/>
      <c r="F2337" s="31" t="str">
        <f>HYPERLINK("https://www.familysearch.org/search/catalog/2820315","FamilySearch.org")</f>
        <v>FamilySearch.org</v>
      </c>
      <c r="G2337" s="12"/>
      <c r="H2337" s="8">
        <v>21</v>
      </c>
      <c r="I2337" s="7" t="s">
        <v>15</v>
      </c>
    </row>
    <row r="2338" spans="1:9" ht="46.8">
      <c r="A2338" s="8">
        <v>6109179</v>
      </c>
      <c r="B2338" s="8" t="s">
        <v>249</v>
      </c>
      <c r="C2338" s="37" t="s">
        <v>3449</v>
      </c>
      <c r="D2338" s="12"/>
      <c r="E2338" s="12"/>
      <c r="F2338" s="31" t="str">
        <f>HYPERLINK("https://www.familysearch.org/search/catalog/2820316","FamilySearch.org")</f>
        <v>FamilySearch.org</v>
      </c>
      <c r="G2338" s="12"/>
      <c r="H2338" s="8">
        <v>21</v>
      </c>
      <c r="I2338" s="7" t="s">
        <v>15</v>
      </c>
    </row>
    <row r="2339" spans="1:9" ht="46.8">
      <c r="A2339" s="8">
        <v>6120593</v>
      </c>
      <c r="B2339" s="8" t="s">
        <v>249</v>
      </c>
      <c r="C2339" s="54" t="str">
        <f>HYPERLINK("https://catalog.archives.gov/search?q=*:*&amp;f.ancestorNaIds=6120593&amp;sort=naIdSort%20asc","Military Petitions for Naturalization, Iowa (Central (Des Moines) Division of the Southern District), 1918 - 1918")</f>
        <v>Military Petitions for Naturalization, Iowa (Central (Des Moines) Division of the Southern District), 1918 - 1918</v>
      </c>
      <c r="D2339" s="12"/>
      <c r="E2339" s="12"/>
      <c r="F2339" s="31" t="str">
        <f>HYPERLINK("https://www.familysearch.org/search/catalog/2820314","FamilySearch.org")</f>
        <v>FamilySearch.org</v>
      </c>
      <c r="G2339" s="12"/>
      <c r="H2339" s="8">
        <v>21</v>
      </c>
      <c r="I2339" s="15" t="s">
        <v>11</v>
      </c>
    </row>
    <row r="2340" spans="1:9" ht="46.8">
      <c r="A2340" s="8">
        <v>6120858</v>
      </c>
      <c r="B2340" s="8" t="s">
        <v>249</v>
      </c>
      <c r="C2340" s="35" t="s">
        <v>3450</v>
      </c>
      <c r="D2340" s="12"/>
      <c r="E2340" s="12"/>
      <c r="F2340" s="12"/>
      <c r="G2340" s="78" t="s">
        <v>3451</v>
      </c>
      <c r="H2340" s="8">
        <v>351</v>
      </c>
      <c r="I2340" s="15" t="s">
        <v>11</v>
      </c>
    </row>
    <row r="2341" spans="1:9" ht="31.2">
      <c r="A2341" s="29">
        <v>6125748</v>
      </c>
      <c r="B2341" s="8" t="s">
        <v>249</v>
      </c>
      <c r="C2341" s="35" t="s">
        <v>3452</v>
      </c>
      <c r="D2341" s="12"/>
      <c r="E2341" s="26" t="s">
        <v>14</v>
      </c>
      <c r="F2341" s="12"/>
      <c r="G2341" s="12"/>
      <c r="H2341" s="33">
        <v>58</v>
      </c>
      <c r="I2341" s="14" t="s">
        <v>11</v>
      </c>
    </row>
    <row r="2342" spans="1:9" ht="31.2">
      <c r="A2342" s="8">
        <v>6126777</v>
      </c>
      <c r="B2342" s="8" t="s">
        <v>249</v>
      </c>
      <c r="C2342" s="54" t="str">
        <f>HYPERLINK("https://catalog.archives.gov/search?q=*:*&amp;f.ancestorNaIds=6126777&amp;sort=naIdSort%20asc","Certificate Stubs, Iowa (Central (Des Moines) Division of the Southern District), 1920 - 1923")</f>
        <v>Certificate Stubs, Iowa (Central (Des Moines) Division of the Southern District), 1920 - 1923</v>
      </c>
      <c r="D2342" s="12"/>
      <c r="E2342" s="12"/>
      <c r="F2342" s="31" t="str">
        <f t="shared" ref="F2342:F2343" si="107">HYPERLINK("https://www.familysearch.org/search/catalog/2820314","FamilySearch.org")</f>
        <v>FamilySearch.org</v>
      </c>
      <c r="G2342" s="12"/>
      <c r="H2342" s="8">
        <v>21</v>
      </c>
      <c r="I2342" s="15" t="s">
        <v>11</v>
      </c>
    </row>
    <row r="2343" spans="1:9" ht="46.8">
      <c r="A2343" s="8">
        <v>6126796</v>
      </c>
      <c r="B2343" s="8" t="s">
        <v>249</v>
      </c>
      <c r="C2343" s="54" t="str">
        <f>HYPERLINK("https://catalog.archives.gov/search?q=*:*&amp;f.ancestorNaIds=6126796&amp;sort=naIdSort%20asc","Indexes to Petitions for Naturalization, Iowa (Central (Des Moines) Division of the Southern District), 1929 - 1929")</f>
        <v>Indexes to Petitions for Naturalization, Iowa (Central (Des Moines) Division of the Southern District), 1929 - 1929</v>
      </c>
      <c r="D2343" s="12"/>
      <c r="E2343" s="12"/>
      <c r="F2343" s="31" t="str">
        <f t="shared" si="107"/>
        <v>FamilySearch.org</v>
      </c>
      <c r="G2343" s="12"/>
      <c r="H2343" s="8">
        <v>21</v>
      </c>
      <c r="I2343" s="15" t="s">
        <v>11</v>
      </c>
    </row>
    <row r="2344" spans="1:9" ht="62.4">
      <c r="A2344" s="8">
        <v>6126829</v>
      </c>
      <c r="B2344" s="8" t="s">
        <v>249</v>
      </c>
      <c r="C2344" s="35" t="s">
        <v>3453</v>
      </c>
      <c r="D2344" s="12"/>
      <c r="E2344" s="12"/>
      <c r="F2344" s="31" t="str">
        <f>HYPERLINK("https://www.familysearch.org/search/catalog/3018712","FamilySearch.org")</f>
        <v>FamilySearch.org</v>
      </c>
      <c r="G2344" s="12"/>
      <c r="H2344" s="8">
        <v>21</v>
      </c>
      <c r="I2344" s="15" t="s">
        <v>11</v>
      </c>
    </row>
    <row r="2345" spans="1:9" ht="46.8">
      <c r="A2345" s="8">
        <v>6158452</v>
      </c>
      <c r="B2345" s="8" t="s">
        <v>249</v>
      </c>
      <c r="C2345" s="80" t="s">
        <v>3454</v>
      </c>
      <c r="D2345" s="12"/>
      <c r="E2345" s="12"/>
      <c r="F2345" s="31" t="str">
        <f>HYPERLINK("https://www.familysearch.org/search/catalog/2827672","FamilySearch.org")</f>
        <v>FamilySearch.org</v>
      </c>
      <c r="G2345" s="12"/>
      <c r="H2345" s="8">
        <v>21</v>
      </c>
      <c r="I2345" s="7" t="s">
        <v>15</v>
      </c>
    </row>
    <row r="2346" spans="1:9" ht="31.2">
      <c r="A2346" s="8">
        <v>6160475</v>
      </c>
      <c r="B2346" s="8" t="s">
        <v>249</v>
      </c>
      <c r="C2346" s="34" t="s">
        <v>3455</v>
      </c>
      <c r="D2346" s="12"/>
      <c r="E2346" s="12"/>
      <c r="F2346" s="31" t="str">
        <f t="shared" ref="F2346:F2347" si="108">HYPERLINK("https://www.familysearch.org/search/catalog/2819008","FamilySearch.org")</f>
        <v>FamilySearch.org</v>
      </c>
      <c r="G2346" s="12"/>
      <c r="H2346" s="8">
        <v>26</v>
      </c>
      <c r="I2346" s="7" t="s">
        <v>11</v>
      </c>
    </row>
    <row r="2347" spans="1:9" ht="31.2">
      <c r="A2347" s="8">
        <v>6161604</v>
      </c>
      <c r="B2347" s="8" t="s">
        <v>249</v>
      </c>
      <c r="C2347" s="34" t="s">
        <v>3456</v>
      </c>
      <c r="D2347" s="12"/>
      <c r="E2347" s="12"/>
      <c r="F2347" s="31" t="str">
        <f t="shared" si="108"/>
        <v>FamilySearch.org</v>
      </c>
      <c r="G2347" s="12"/>
      <c r="H2347" s="8">
        <v>26</v>
      </c>
      <c r="I2347" s="7" t="s">
        <v>11</v>
      </c>
    </row>
    <row r="2348" spans="1:9" ht="31.2">
      <c r="A2348" s="29">
        <v>6161915</v>
      </c>
      <c r="B2348" s="8" t="s">
        <v>249</v>
      </c>
      <c r="C2348" s="16" t="s">
        <v>3457</v>
      </c>
      <c r="D2348" s="12"/>
      <c r="E2348" s="26" t="s">
        <v>14</v>
      </c>
      <c r="F2348" s="12"/>
      <c r="G2348" s="12"/>
      <c r="H2348" s="33">
        <v>92</v>
      </c>
      <c r="I2348" s="14" t="s">
        <v>15</v>
      </c>
    </row>
    <row r="2349" spans="1:9" ht="31.2">
      <c r="A2349" s="29">
        <v>6164633</v>
      </c>
      <c r="B2349" s="8" t="s">
        <v>249</v>
      </c>
      <c r="C2349" s="16" t="s">
        <v>3458</v>
      </c>
      <c r="D2349" s="12"/>
      <c r="E2349" s="26" t="s">
        <v>14</v>
      </c>
      <c r="F2349" s="12"/>
      <c r="G2349" s="12"/>
      <c r="H2349" s="33">
        <v>21</v>
      </c>
      <c r="I2349" s="14" t="s">
        <v>15</v>
      </c>
    </row>
    <row r="2350" spans="1:9" ht="31.2">
      <c r="A2350" s="29">
        <v>6165171</v>
      </c>
      <c r="B2350" s="8" t="s">
        <v>249</v>
      </c>
      <c r="C2350" s="16" t="s">
        <v>3459</v>
      </c>
      <c r="D2350" s="12"/>
      <c r="E2350" s="26" t="s">
        <v>14</v>
      </c>
      <c r="F2350" s="12"/>
      <c r="G2350" s="12"/>
      <c r="H2350" s="33">
        <v>21</v>
      </c>
      <c r="I2350" s="14" t="s">
        <v>15</v>
      </c>
    </row>
    <row r="2351" spans="1:9" ht="46.8">
      <c r="A2351" s="29">
        <v>6165172</v>
      </c>
      <c r="B2351" s="8" t="s">
        <v>249</v>
      </c>
      <c r="C2351" s="35" t="s">
        <v>3460</v>
      </c>
      <c r="D2351" s="12"/>
      <c r="E2351" s="26" t="s">
        <v>14</v>
      </c>
      <c r="F2351" s="12"/>
      <c r="G2351" s="12"/>
      <c r="H2351" s="33">
        <v>21</v>
      </c>
      <c r="I2351" s="23" t="s">
        <v>11</v>
      </c>
    </row>
    <row r="2352" spans="1:9" ht="31.2">
      <c r="A2352" s="8">
        <v>6171867</v>
      </c>
      <c r="B2352" s="8" t="s">
        <v>249</v>
      </c>
      <c r="C2352" s="54" t="s">
        <v>3461</v>
      </c>
      <c r="D2352" s="12"/>
      <c r="E2352" s="12"/>
      <c r="F2352" s="31" t="str">
        <f>HYPERLINK("https://www.familysearch.org/search/catalog/3155487","FamilySearch.org")</f>
        <v>FamilySearch.org</v>
      </c>
      <c r="G2352" s="12"/>
      <c r="H2352" s="8">
        <v>21</v>
      </c>
      <c r="I2352" s="15" t="s">
        <v>11</v>
      </c>
    </row>
    <row r="2353" spans="1:9" ht="46.8">
      <c r="A2353" s="8">
        <v>6207354</v>
      </c>
      <c r="B2353" s="8" t="s">
        <v>249</v>
      </c>
      <c r="C2353" s="37" t="s">
        <v>3462</v>
      </c>
      <c r="D2353" s="12"/>
      <c r="E2353" s="12"/>
      <c r="F2353" s="31" t="str">
        <f t="shared" ref="F2353:F2354" si="109">HYPERLINK("https://www.familysearch.org/search/catalog/2820319","FamilySearch.org")</f>
        <v>FamilySearch.org</v>
      </c>
      <c r="G2353" s="12"/>
      <c r="H2353" s="8">
        <v>21</v>
      </c>
      <c r="I2353" s="7" t="s">
        <v>15</v>
      </c>
    </row>
    <row r="2354" spans="1:9" ht="31.2">
      <c r="A2354" s="8">
        <v>6207355</v>
      </c>
      <c r="B2354" s="8" t="s">
        <v>249</v>
      </c>
      <c r="C2354" s="54" t="str">
        <f>HYPERLINK("https://catalog.archives.gov/search?q=*:*&amp;f.ancestorNaIds=6207355&amp;sort=naIdSort%20asc","Certificate Stubs, Iowa (Ottumwa Division of the Southern District), 1917 - 1926")</f>
        <v>Certificate Stubs, Iowa (Ottumwa Division of the Southern District), 1917 - 1926</v>
      </c>
      <c r="D2354" s="12"/>
      <c r="E2354" s="12"/>
      <c r="F2354" s="31" t="str">
        <f t="shared" si="109"/>
        <v>FamilySearch.org</v>
      </c>
      <c r="G2354" s="12"/>
      <c r="H2354" s="8">
        <v>21</v>
      </c>
      <c r="I2354" s="15" t="s">
        <v>11</v>
      </c>
    </row>
    <row r="2355" spans="1:9" ht="31.2">
      <c r="A2355" s="29">
        <v>6207719</v>
      </c>
      <c r="B2355" s="8" t="s">
        <v>249</v>
      </c>
      <c r="C2355" s="34" t="s">
        <v>3463</v>
      </c>
      <c r="D2355" s="12"/>
      <c r="E2355" s="26" t="s">
        <v>14</v>
      </c>
      <c r="F2355" s="32" t="str">
        <f>HYPERLINK("https://www.familysearch.org/search/catalog/2510808","FamilySearch.org")</f>
        <v>FamilySearch.org</v>
      </c>
      <c r="G2355" s="12"/>
      <c r="H2355" s="33">
        <v>49</v>
      </c>
      <c r="I2355" s="14" t="s">
        <v>11</v>
      </c>
    </row>
    <row r="2356" spans="1:9" ht="31.2">
      <c r="A2356" s="81">
        <v>6210139</v>
      </c>
      <c r="B2356" s="8" t="s">
        <v>249</v>
      </c>
      <c r="C2356" s="34" t="s">
        <v>3464</v>
      </c>
      <c r="D2356" s="12"/>
      <c r="E2356" s="26" t="s">
        <v>14</v>
      </c>
      <c r="F2356" s="32" t="str">
        <f>HYPERLINK("https://www.familysearch.org/search/catalog/2510806","FamilySearch.org")</f>
        <v>FamilySearch.org</v>
      </c>
      <c r="G2356" s="12"/>
      <c r="H2356" s="33">
        <v>49</v>
      </c>
      <c r="I2356" s="14" t="s">
        <v>11</v>
      </c>
    </row>
    <row r="2357" spans="1:9" ht="46.8">
      <c r="A2357" s="29">
        <v>6210476</v>
      </c>
      <c r="B2357" s="8" t="s">
        <v>249</v>
      </c>
      <c r="C2357" s="35" t="s">
        <v>3465</v>
      </c>
      <c r="D2357" s="12"/>
      <c r="E2357" s="26" t="s">
        <v>14</v>
      </c>
      <c r="F2357" s="12"/>
      <c r="G2357" s="12"/>
      <c r="H2357" s="33">
        <v>21</v>
      </c>
      <c r="I2357" s="23" t="s">
        <v>11</v>
      </c>
    </row>
    <row r="2358" spans="1:9" ht="46.8">
      <c r="A2358" s="29">
        <v>6233050</v>
      </c>
      <c r="B2358" s="8" t="s">
        <v>249</v>
      </c>
      <c r="C2358" s="16" t="s">
        <v>3466</v>
      </c>
      <c r="D2358" s="12"/>
      <c r="E2358" s="26" t="s">
        <v>14</v>
      </c>
      <c r="F2358" s="12"/>
      <c r="G2358" s="12"/>
      <c r="H2358" s="33">
        <v>21</v>
      </c>
      <c r="I2358" s="14" t="s">
        <v>15</v>
      </c>
    </row>
    <row r="2359" spans="1:9" ht="46.8">
      <c r="A2359" s="29">
        <v>6233129</v>
      </c>
      <c r="B2359" s="8" t="s">
        <v>249</v>
      </c>
      <c r="C2359" s="16" t="s">
        <v>3467</v>
      </c>
      <c r="D2359" s="12"/>
      <c r="E2359" s="26" t="s">
        <v>14</v>
      </c>
      <c r="F2359" s="12"/>
      <c r="G2359" s="12"/>
      <c r="H2359" s="33">
        <v>21</v>
      </c>
      <c r="I2359" s="14" t="s">
        <v>15</v>
      </c>
    </row>
    <row r="2360" spans="1:9" ht="31.2">
      <c r="A2360" s="81">
        <v>6234465</v>
      </c>
      <c r="B2360" s="8" t="s">
        <v>249</v>
      </c>
      <c r="C2360" s="37" t="s">
        <v>3468</v>
      </c>
      <c r="D2360" s="12"/>
      <c r="E2360" s="26" t="s">
        <v>14</v>
      </c>
      <c r="F2360" s="12"/>
      <c r="G2360" s="12"/>
      <c r="H2360" s="33">
        <v>92</v>
      </c>
      <c r="I2360" s="14" t="s">
        <v>15</v>
      </c>
    </row>
    <row r="2361" spans="1:9" ht="31.2">
      <c r="A2361" s="81">
        <v>6234477</v>
      </c>
      <c r="B2361" s="8" t="s">
        <v>249</v>
      </c>
      <c r="C2361" s="37" t="s">
        <v>3469</v>
      </c>
      <c r="D2361" s="12"/>
      <c r="E2361" s="26" t="s">
        <v>14</v>
      </c>
      <c r="F2361" s="12"/>
      <c r="G2361" s="12"/>
      <c r="H2361" s="33">
        <v>92</v>
      </c>
      <c r="I2361" s="14" t="s">
        <v>15</v>
      </c>
    </row>
    <row r="2362" spans="1:9" ht="31.2">
      <c r="A2362" s="81">
        <v>6250662</v>
      </c>
      <c r="B2362" s="8" t="s">
        <v>249</v>
      </c>
      <c r="C2362" s="37" t="s">
        <v>3470</v>
      </c>
      <c r="D2362" s="12"/>
      <c r="E2362" s="12"/>
      <c r="F2362" s="32" t="s">
        <v>43</v>
      </c>
      <c r="G2362" s="12"/>
      <c r="H2362" s="33">
        <v>21</v>
      </c>
      <c r="I2362" s="14" t="s">
        <v>15</v>
      </c>
    </row>
    <row r="2363" spans="1:9" ht="31.2">
      <c r="A2363" s="81">
        <v>6254827</v>
      </c>
      <c r="B2363" s="8" t="s">
        <v>249</v>
      </c>
      <c r="C2363" s="37" t="s">
        <v>3471</v>
      </c>
      <c r="D2363" s="12"/>
      <c r="E2363" s="12"/>
      <c r="F2363" s="32" t="s">
        <v>43</v>
      </c>
      <c r="G2363" s="12"/>
      <c r="H2363" s="33">
        <v>21</v>
      </c>
      <c r="I2363" s="14" t="s">
        <v>15</v>
      </c>
    </row>
    <row r="2364" spans="1:9" ht="31.2">
      <c r="A2364" s="81">
        <v>6254871</v>
      </c>
      <c r="B2364" s="8" t="s">
        <v>249</v>
      </c>
      <c r="C2364" s="37" t="s">
        <v>3472</v>
      </c>
      <c r="D2364" s="12"/>
      <c r="E2364" s="12"/>
      <c r="F2364" s="32" t="s">
        <v>43</v>
      </c>
      <c r="G2364" s="12"/>
      <c r="H2364" s="33">
        <v>21</v>
      </c>
      <c r="I2364" s="14" t="s">
        <v>15</v>
      </c>
    </row>
    <row r="2365" spans="1:9" ht="31.2">
      <c r="A2365" s="81">
        <v>6266737</v>
      </c>
      <c r="B2365" s="8" t="s">
        <v>249</v>
      </c>
      <c r="C2365" s="37" t="s">
        <v>3473</v>
      </c>
      <c r="D2365" s="12"/>
      <c r="E2365" s="12"/>
      <c r="F2365" s="32" t="s">
        <v>43</v>
      </c>
      <c r="G2365" s="12"/>
      <c r="H2365" s="33">
        <v>21</v>
      </c>
      <c r="I2365" s="14" t="s">
        <v>15</v>
      </c>
    </row>
    <row r="2366" spans="1:9" ht="31.2">
      <c r="A2366" s="81">
        <v>6277117</v>
      </c>
      <c r="B2366" s="8" t="s">
        <v>249</v>
      </c>
      <c r="C2366" s="37" t="s">
        <v>3474</v>
      </c>
      <c r="D2366" s="12"/>
      <c r="E2366" s="12"/>
      <c r="F2366" s="32" t="s">
        <v>43</v>
      </c>
      <c r="G2366" s="12"/>
      <c r="H2366" s="33">
        <v>21</v>
      </c>
      <c r="I2366" s="14" t="s">
        <v>15</v>
      </c>
    </row>
    <row r="2367" spans="1:9" ht="31.2">
      <c r="A2367" s="8">
        <v>6277852</v>
      </c>
      <c r="B2367" s="8" t="s">
        <v>249</v>
      </c>
      <c r="C2367" s="35" t="s">
        <v>3475</v>
      </c>
      <c r="D2367" s="12"/>
      <c r="E2367" s="12"/>
      <c r="F2367" s="31" t="str">
        <f t="shared" ref="F2367:F2369" si="110">HYPERLINK("https://www.familysearch.org/search/catalog/2827676","FamilySearch.org")</f>
        <v>FamilySearch.org</v>
      </c>
      <c r="G2367" s="12"/>
      <c r="H2367" s="8">
        <v>21</v>
      </c>
      <c r="I2367" s="15" t="s">
        <v>11</v>
      </c>
    </row>
    <row r="2368" spans="1:9" ht="46.8">
      <c r="A2368" s="8">
        <v>6277857</v>
      </c>
      <c r="B2368" s="8" t="s">
        <v>249</v>
      </c>
      <c r="C2368" s="80" t="s">
        <v>3476</v>
      </c>
      <c r="D2368" s="12"/>
      <c r="E2368" s="12"/>
      <c r="F2368" s="31" t="str">
        <f t="shared" si="110"/>
        <v>FamilySearch.org</v>
      </c>
      <c r="G2368" s="12"/>
      <c r="H2368" s="8">
        <v>21</v>
      </c>
      <c r="I2368" s="7" t="s">
        <v>15</v>
      </c>
    </row>
    <row r="2369" spans="1:9" ht="31.2">
      <c r="A2369" s="8">
        <v>6278119</v>
      </c>
      <c r="B2369" s="8" t="s">
        <v>249</v>
      </c>
      <c r="C2369" s="37" t="s">
        <v>3477</v>
      </c>
      <c r="D2369" s="12"/>
      <c r="E2369" s="12"/>
      <c r="F2369" s="31" t="str">
        <f t="shared" si="110"/>
        <v>FamilySearch.org</v>
      </c>
      <c r="G2369" s="12"/>
      <c r="H2369" s="8">
        <v>21</v>
      </c>
      <c r="I2369" s="7" t="s">
        <v>15</v>
      </c>
    </row>
    <row r="2370" spans="1:9" ht="62.4">
      <c r="A2370" s="8">
        <v>6423801</v>
      </c>
      <c r="B2370" s="8" t="s">
        <v>249</v>
      </c>
      <c r="C2370" s="37" t="s">
        <v>3478</v>
      </c>
      <c r="D2370" s="12"/>
      <c r="E2370" s="12"/>
      <c r="F2370" s="31" t="str">
        <f>HYPERLINK("https://www.familysearch.org/search/catalog/3328317","FamilySearch.org")</f>
        <v>FamilySearch.org</v>
      </c>
      <c r="G2370" s="12"/>
      <c r="H2370" s="8">
        <v>21</v>
      </c>
      <c r="I2370" s="7" t="s">
        <v>15</v>
      </c>
    </row>
    <row r="2371" spans="1:9" ht="62.4">
      <c r="A2371" s="8">
        <v>6587555</v>
      </c>
      <c r="B2371" s="8" t="s">
        <v>249</v>
      </c>
      <c r="C2371" s="54" t="str">
        <f>HYPERLINK("https://catalog.archives.gov/search?q=*:*&amp;f.ancestorNaIds=6587555&amp;sort=naIdSort%20asc","Records Relating to African-American Workers, 1919 - 1921")</f>
        <v>Records Relating to African-American Workers, 1919 - 1921</v>
      </c>
      <c r="D2371" s="12"/>
      <c r="E2371" s="12"/>
      <c r="F2371" s="12"/>
      <c r="G2371" s="60" t="str">
        <f>HYPERLINK("https://fraser.stlouisfed.org/archival/5731","Federal Reserve Bank of St. Louis")</f>
        <v>Federal Reserve Bank of St. Louis</v>
      </c>
      <c r="H2371" s="8">
        <v>174</v>
      </c>
      <c r="I2371" s="15" t="s">
        <v>11</v>
      </c>
    </row>
    <row r="2372" spans="1:9" ht="46.8">
      <c r="A2372" s="8">
        <v>6679227</v>
      </c>
      <c r="B2372" s="8" t="s">
        <v>249</v>
      </c>
      <c r="C2372" s="37" t="s">
        <v>3479</v>
      </c>
      <c r="D2372" s="12"/>
      <c r="E2372" s="12"/>
      <c r="F2372" s="31" t="str">
        <f>HYPERLINK("https://www.familysearch.org/search/catalog/2842234","FamilySearch.org")</f>
        <v>FamilySearch.org</v>
      </c>
      <c r="G2372" s="12"/>
      <c r="H2372" s="8">
        <v>21</v>
      </c>
      <c r="I2372" s="7" t="s">
        <v>15</v>
      </c>
    </row>
    <row r="2373" spans="1:9" ht="46.8">
      <c r="A2373" s="8">
        <v>6679694</v>
      </c>
      <c r="B2373" s="8" t="s">
        <v>249</v>
      </c>
      <c r="C2373" s="37" t="s">
        <v>3480</v>
      </c>
      <c r="D2373" s="12"/>
      <c r="E2373" s="12"/>
      <c r="F2373" s="31" t="str">
        <f>HYPERLINK("https://www.familysearch.org/search/catalog/2842233","FamilySearch.org")</f>
        <v>FamilySearch.org</v>
      </c>
      <c r="G2373" s="12"/>
      <c r="H2373" s="8">
        <v>21</v>
      </c>
      <c r="I2373" s="7" t="s">
        <v>15</v>
      </c>
    </row>
    <row r="2374" spans="1:9" ht="46.8">
      <c r="A2374" s="8">
        <v>6782958</v>
      </c>
      <c r="B2374" s="8" t="s">
        <v>249</v>
      </c>
      <c r="C2374" s="37" t="s">
        <v>3481</v>
      </c>
      <c r="D2374" s="12"/>
      <c r="E2374" s="12"/>
      <c r="F2374" s="26" t="s">
        <v>43</v>
      </c>
      <c r="G2374" s="12"/>
      <c r="H2374" s="8">
        <v>21</v>
      </c>
      <c r="I2374" s="7" t="s">
        <v>15</v>
      </c>
    </row>
    <row r="2375" spans="1:9" ht="46.8">
      <c r="A2375" s="8">
        <v>6802685</v>
      </c>
      <c r="B2375" s="8" t="s">
        <v>249</v>
      </c>
      <c r="C2375" s="37" t="s">
        <v>3482</v>
      </c>
      <c r="D2375" s="12"/>
      <c r="E2375" s="12"/>
      <c r="F2375" s="26" t="s">
        <v>43</v>
      </c>
      <c r="G2375" s="12"/>
      <c r="H2375" s="8">
        <v>21</v>
      </c>
      <c r="I2375" s="7" t="s">
        <v>15</v>
      </c>
    </row>
    <row r="2376" spans="1:9" ht="31.2">
      <c r="A2376" s="29">
        <v>6821421</v>
      </c>
      <c r="B2376" s="8" t="s">
        <v>249</v>
      </c>
      <c r="C2376" s="35" t="s">
        <v>3483</v>
      </c>
      <c r="D2376" s="12"/>
      <c r="E2376" s="12"/>
      <c r="F2376" s="32" t="s">
        <v>43</v>
      </c>
      <c r="G2376" s="12"/>
      <c r="H2376" s="33">
        <v>185</v>
      </c>
      <c r="I2376" s="14" t="s">
        <v>11</v>
      </c>
    </row>
    <row r="2377" spans="1:9" ht="78">
      <c r="A2377" s="8">
        <v>6850679</v>
      </c>
      <c r="B2377" s="8" t="s">
        <v>249</v>
      </c>
      <c r="C2377" s="37" t="s">
        <v>3484</v>
      </c>
      <c r="D2377" s="12"/>
      <c r="E2377" s="12"/>
      <c r="F2377" s="12"/>
      <c r="G2377" s="78" t="s">
        <v>3485</v>
      </c>
      <c r="H2377" s="8">
        <v>341</v>
      </c>
      <c r="I2377" s="7" t="s">
        <v>15</v>
      </c>
    </row>
    <row r="2378" spans="1:9" ht="31.2">
      <c r="A2378" s="29">
        <v>6857750</v>
      </c>
      <c r="B2378" s="8" t="s">
        <v>249</v>
      </c>
      <c r="C2378" s="16" t="s">
        <v>3486</v>
      </c>
      <c r="D2378" s="12"/>
      <c r="E2378" s="12"/>
      <c r="F2378" s="32" t="s">
        <v>43</v>
      </c>
      <c r="G2378" s="12"/>
      <c r="H2378" s="33">
        <v>21</v>
      </c>
      <c r="I2378" s="14" t="s">
        <v>15</v>
      </c>
    </row>
    <row r="2379" spans="1:9" ht="31.2">
      <c r="A2379" s="8">
        <v>6871709</v>
      </c>
      <c r="B2379" s="8" t="s">
        <v>249</v>
      </c>
      <c r="C2379" s="37" t="s">
        <v>3487</v>
      </c>
      <c r="D2379" s="12"/>
      <c r="E2379" s="12"/>
      <c r="F2379" s="31" t="str">
        <f>HYPERLINK("https://www.familysearch.org/search/catalog/results?count=20&amp;query=%2Bkeywords%3A6871709","FamilySearch.org")</f>
        <v>FamilySearch.org</v>
      </c>
      <c r="G2379" s="12"/>
      <c r="H2379" s="8">
        <v>36</v>
      </c>
      <c r="I2379" s="7" t="s">
        <v>15</v>
      </c>
    </row>
    <row r="2380" spans="1:9" ht="46.8">
      <c r="A2380" s="29">
        <v>6873553</v>
      </c>
      <c r="B2380" s="8" t="s">
        <v>249</v>
      </c>
      <c r="C2380" s="35" t="s">
        <v>3488</v>
      </c>
      <c r="D2380" s="12"/>
      <c r="E2380" s="26" t="s">
        <v>14</v>
      </c>
      <c r="F2380" s="12"/>
      <c r="G2380" s="12"/>
      <c r="H2380" s="33">
        <v>21</v>
      </c>
      <c r="I2380" s="14" t="s">
        <v>11</v>
      </c>
    </row>
    <row r="2381" spans="1:9" ht="31.2">
      <c r="A2381" s="8">
        <v>6877024</v>
      </c>
      <c r="B2381" s="8" t="s">
        <v>249</v>
      </c>
      <c r="C2381" s="54" t="str">
        <f>HYPERLINK("https://catalog.archives.gov/search?q=*:*&amp;f.ancestorNaIds=6877024&amp;sort=naIdSort%20asc","Declarations of Intention, Connecticut (City Court, New Britain), 1874-1906")</f>
        <v>Declarations of Intention, Connecticut (City Court, New Britain), 1874-1906</v>
      </c>
      <c r="D2381" s="12"/>
      <c r="E2381" s="12"/>
      <c r="F2381" s="31" t="str">
        <f>HYPERLINK("https://www.familysearch.org/search/catalog/1491326","FamilySearch.org")</f>
        <v>FamilySearch.org</v>
      </c>
      <c r="G2381" s="12"/>
      <c r="H2381" s="8" t="s">
        <v>3058</v>
      </c>
      <c r="I2381" s="15" t="s">
        <v>11</v>
      </c>
    </row>
    <row r="2382" spans="1:9" ht="46.8">
      <c r="A2382" s="8">
        <v>6882524</v>
      </c>
      <c r="B2382" s="8" t="s">
        <v>249</v>
      </c>
      <c r="C2382" s="37" t="s">
        <v>3489</v>
      </c>
      <c r="D2382" s="12"/>
      <c r="E2382" s="12"/>
      <c r="F2382" s="31" t="str">
        <f>HYPERLINK("https://www.familysearch.org/search/catalog/436973","FamilySearch.org")</f>
        <v>FamilySearch.org</v>
      </c>
      <c r="G2382" s="12"/>
      <c r="H2382" s="8">
        <v>21</v>
      </c>
      <c r="I2382" s="7" t="s">
        <v>15</v>
      </c>
    </row>
    <row r="2383" spans="1:9" ht="31.2">
      <c r="A2383" s="8">
        <v>6883383</v>
      </c>
      <c r="B2383" s="8" t="s">
        <v>249</v>
      </c>
      <c r="C2383" s="34" t="s">
        <v>3490</v>
      </c>
      <c r="D2383" s="12"/>
      <c r="E2383" s="12"/>
      <c r="F2383" s="31" t="str">
        <f>HYPERLINK("https://www.familysearch.org/search/catalog/2822373","FamilySearch.org")</f>
        <v>FamilySearch.org</v>
      </c>
      <c r="G2383" s="12"/>
      <c r="H2383" s="8">
        <v>36</v>
      </c>
      <c r="I2383" s="7" t="s">
        <v>11</v>
      </c>
    </row>
    <row r="2384" spans="1:9" ht="46.8">
      <c r="A2384" s="8">
        <v>6891020</v>
      </c>
      <c r="B2384" s="8" t="s">
        <v>249</v>
      </c>
      <c r="C2384" s="37" t="s">
        <v>3491</v>
      </c>
      <c r="D2384" s="12"/>
      <c r="E2384" s="12"/>
      <c r="F2384" s="31" t="str">
        <f>HYPERLINK("https://www.familysearch.org/search/catalog/2820777","FamilySearch.org")</f>
        <v>FamilySearch.org</v>
      </c>
      <c r="G2384" s="12"/>
      <c r="H2384" s="8">
        <v>21</v>
      </c>
      <c r="I2384" s="7" t="s">
        <v>15</v>
      </c>
    </row>
    <row r="2385" spans="1:9" ht="46.8">
      <c r="A2385" s="8">
        <v>6920294</v>
      </c>
      <c r="B2385" s="8" t="s">
        <v>249</v>
      </c>
      <c r="C2385" s="54" t="str">
        <f>HYPERLINK("https://catalog.archives.gov/search?q=*:*&amp;f.ancestorNaIds=6920294&amp;sort=naIdSort%20asc","Record of Naturalizations (""Under 18""), Connectiut (District Court, New Haven County at Waterbury), 1885-1906")</f>
        <v>Record of Naturalizations ("Under 18"), Connectiut (District Court, New Haven County at Waterbury), 1885-1906</v>
      </c>
      <c r="D2385" s="12"/>
      <c r="E2385" s="12"/>
      <c r="F2385" s="31" t="str">
        <f t="shared" ref="F2385:F2386" si="111">HYPERLINK("https://www.familysearch.org/search/catalog/3020593","FamilySearch.org")</f>
        <v>FamilySearch.org</v>
      </c>
      <c r="G2385" s="12"/>
      <c r="H2385" s="8" t="s">
        <v>3058</v>
      </c>
      <c r="I2385" s="15" t="s">
        <v>11</v>
      </c>
    </row>
    <row r="2386" spans="1:9" ht="46.8">
      <c r="A2386" s="8">
        <v>6920472</v>
      </c>
      <c r="B2386" s="8" t="s">
        <v>249</v>
      </c>
      <c r="C2386" s="54" t="str">
        <f>HYPERLINK("https://catalog.archives.gov/search?q=*:*&amp;f.ancestorNaIds=6920472&amp;sort=naIdSort%20asc","Record of Naturalizations (""Second Papers""), Connectiut (District Court, New Haven County at Waterbury), 1885-1903")</f>
        <v>Record of Naturalizations ("Second Papers"), Connectiut (District Court, New Haven County at Waterbury), 1885-1903</v>
      </c>
      <c r="D2386" s="12"/>
      <c r="E2386" s="12"/>
      <c r="F2386" s="31" t="str">
        <f t="shared" si="111"/>
        <v>FamilySearch.org</v>
      </c>
      <c r="G2386" s="12"/>
      <c r="H2386" s="8" t="s">
        <v>3058</v>
      </c>
      <c r="I2386" s="15" t="s">
        <v>11</v>
      </c>
    </row>
    <row r="2387" spans="1:9" ht="46.8">
      <c r="A2387" s="29">
        <v>6923862</v>
      </c>
      <c r="B2387" s="8" t="s">
        <v>249</v>
      </c>
      <c r="C2387" s="16" t="s">
        <v>3492</v>
      </c>
      <c r="D2387" s="12"/>
      <c r="E2387" s="12"/>
      <c r="F2387" s="32" t="s">
        <v>43</v>
      </c>
      <c r="G2387" s="12"/>
      <c r="H2387" s="33">
        <v>21</v>
      </c>
      <c r="I2387" s="14" t="s">
        <v>15</v>
      </c>
    </row>
    <row r="2388" spans="1:9" ht="31.2">
      <c r="A2388" s="8">
        <v>6924846</v>
      </c>
      <c r="B2388" s="8" t="s">
        <v>249</v>
      </c>
      <c r="C2388" s="54" t="str">
        <f>HYPERLINK("https://catalog.archives.gov/search?q=*:*&amp;f.ancestorNaIds=6924846&amp;sort=naIdSort%20asc","Jail Book of St. Michael Island (Alaska), 1899-1905")</f>
        <v>Jail Book of St. Michael Island (Alaska), 1899-1905</v>
      </c>
      <c r="D2388" s="12"/>
      <c r="E2388" s="12"/>
      <c r="F2388" s="31" t="str">
        <f>HYPERLINK("https://familysearch.org/search/catalog/2835352","FamilySearch.org")</f>
        <v>FamilySearch.org</v>
      </c>
      <c r="G2388" s="12"/>
      <c r="H2388" s="8">
        <v>527</v>
      </c>
      <c r="I2388" s="15" t="s">
        <v>11</v>
      </c>
    </row>
    <row r="2389" spans="1:9" ht="46.8">
      <c r="A2389" s="29">
        <v>6948573</v>
      </c>
      <c r="B2389" s="8" t="s">
        <v>249</v>
      </c>
      <c r="C2389" s="16" t="s">
        <v>3493</v>
      </c>
      <c r="D2389" s="12"/>
      <c r="E2389" s="12"/>
      <c r="F2389" s="32" t="s">
        <v>43</v>
      </c>
      <c r="G2389" s="12"/>
      <c r="H2389" s="33">
        <v>21</v>
      </c>
      <c r="I2389" s="14" t="s">
        <v>15</v>
      </c>
    </row>
    <row r="2390" spans="1:9" ht="93.6">
      <c r="A2390" s="8">
        <v>7064413</v>
      </c>
      <c r="B2390" s="8" t="s">
        <v>249</v>
      </c>
      <c r="C2390" s="37" t="s">
        <v>3494</v>
      </c>
      <c r="D2390" s="12"/>
      <c r="E2390" s="12"/>
      <c r="F2390" s="12"/>
      <c r="G2390" s="78" t="s">
        <v>2519</v>
      </c>
      <c r="H2390" s="8">
        <v>261</v>
      </c>
      <c r="I2390" s="7" t="s">
        <v>15</v>
      </c>
    </row>
    <row r="2391" spans="1:9" ht="31.2">
      <c r="A2391" s="8">
        <v>7158295</v>
      </c>
      <c r="B2391" s="8" t="s">
        <v>249</v>
      </c>
      <c r="C2391" s="54" t="str">
        <f>HYPERLINK("https://catalog.archives.gov/search?q=*:*&amp;f.ancestorNaIds=7158295&amp;sort=naIdSort%20asc","Certificate Stubs, Iowa (Eastern (Dubuque) Division of the Northern District), 1917 - 1920")</f>
        <v>Certificate Stubs, Iowa (Eastern (Dubuque) Division of the Northern District), 1917 - 1920</v>
      </c>
      <c r="D2391" s="12"/>
      <c r="E2391" s="12"/>
      <c r="F2391" s="31" t="str">
        <f>HYPERLINK("https://www.familysearch.org/search/catalog/2820315","FamilySearch.org")</f>
        <v>FamilySearch.org</v>
      </c>
      <c r="G2391" s="12"/>
      <c r="H2391" s="8">
        <v>21</v>
      </c>
      <c r="I2391" s="15" t="s">
        <v>11</v>
      </c>
    </row>
    <row r="2392" spans="1:9" ht="31.2">
      <c r="A2392" s="8">
        <v>7158392</v>
      </c>
      <c r="B2392" s="8" t="s">
        <v>249</v>
      </c>
      <c r="C2392" s="54" t="str">
        <f>HYPERLINK("https://catalog.archives.gov/search?q=*:*&amp;f.ancestorNaIds=7158392&amp;sort=naIdSort%20asc","Certificate Stubs, Iowa (Central (Fort Dodge) Division of the Northern District), 1909 - 1926")</f>
        <v>Certificate Stubs, Iowa (Central (Fort Dodge) Division of the Northern District), 1909 - 1926</v>
      </c>
      <c r="D2392" s="12"/>
      <c r="E2392" s="12"/>
      <c r="F2392" s="31" t="str">
        <f>HYPERLINK("https://www.familysearch.org/search/catalog/2820316","FamilySearch.org")</f>
        <v>FamilySearch.org</v>
      </c>
      <c r="G2392" s="12"/>
      <c r="H2392" s="8">
        <v>21</v>
      </c>
      <c r="I2392" s="15" t="s">
        <v>11</v>
      </c>
    </row>
    <row r="2393" spans="1:9" ht="31.2">
      <c r="A2393" s="29">
        <v>7226554</v>
      </c>
      <c r="B2393" s="8" t="s">
        <v>249</v>
      </c>
      <c r="C2393" s="16" t="s">
        <v>3495</v>
      </c>
      <c r="D2393" s="12"/>
      <c r="E2393" s="12"/>
      <c r="F2393" s="32" t="s">
        <v>43</v>
      </c>
      <c r="G2393" s="12"/>
      <c r="H2393" s="33">
        <v>185</v>
      </c>
      <c r="I2393" s="14" t="s">
        <v>15</v>
      </c>
    </row>
    <row r="2394" spans="1:9" ht="31.2">
      <c r="A2394" s="29">
        <v>7226555</v>
      </c>
      <c r="B2394" s="8" t="s">
        <v>249</v>
      </c>
      <c r="C2394" s="35" t="s">
        <v>3496</v>
      </c>
      <c r="D2394" s="12"/>
      <c r="E2394" s="12"/>
      <c r="F2394" s="32" t="s">
        <v>43</v>
      </c>
      <c r="G2394" s="12"/>
      <c r="H2394" s="33">
        <v>185</v>
      </c>
      <c r="I2394" s="14" t="s">
        <v>11</v>
      </c>
    </row>
    <row r="2395" spans="1:9" ht="46.8">
      <c r="A2395" s="29">
        <v>7267811</v>
      </c>
      <c r="B2395" s="8" t="s">
        <v>249</v>
      </c>
      <c r="C2395" s="16" t="s">
        <v>3497</v>
      </c>
      <c r="D2395" s="12"/>
      <c r="E2395" s="12"/>
      <c r="F2395" s="32" t="s">
        <v>43</v>
      </c>
      <c r="G2395" s="12"/>
      <c r="H2395" s="33">
        <v>21</v>
      </c>
      <c r="I2395" s="14" t="s">
        <v>15</v>
      </c>
    </row>
    <row r="2396" spans="1:9" ht="31.2">
      <c r="A2396" s="8">
        <v>7269160</v>
      </c>
      <c r="B2396" s="8" t="s">
        <v>249</v>
      </c>
      <c r="C2396" s="54" t="str">
        <f>HYPERLINK("https://catalog.archives.gov/search?q=*:*&amp;f.ancestorNaIds=7269160&amp;sort=naIdSort%20asc","Declarations of Intention, Wisconsin (Western District, Madison Term), 1876-1990")</f>
        <v>Declarations of Intention, Wisconsin (Western District, Madison Term), 1876-1990</v>
      </c>
      <c r="D2396" s="12"/>
      <c r="E2396" s="12"/>
      <c r="F2396" s="31" t="str">
        <f>HYPERLINK("https://www.familysearch.org/search/catalog/3259501","FamilySearch.org")</f>
        <v>FamilySearch.org</v>
      </c>
      <c r="G2396" s="12"/>
      <c r="H2396" s="8">
        <v>21</v>
      </c>
      <c r="I2396" s="15" t="s">
        <v>18</v>
      </c>
    </row>
    <row r="2397" spans="1:9" ht="31.2">
      <c r="A2397" s="8">
        <v>7284025</v>
      </c>
      <c r="B2397" s="8" t="s">
        <v>249</v>
      </c>
      <c r="C2397" s="54" t="str">
        <f>HYPERLINK("https://catalog.archives.gov/search?q=*:*&amp;f.ancestorNaIds=7284025&amp;sort=naIdSort%20asc","Declarations of Intention, Wisconsin (Eastern District, Milwaukee Term), 1848-1991")</f>
        <v>Declarations of Intention, Wisconsin (Eastern District, Milwaukee Term), 1848-1991</v>
      </c>
      <c r="D2397" s="12"/>
      <c r="E2397" s="12"/>
      <c r="F2397" s="31" t="str">
        <f>HYPERLINK("https://www.familysearch.org/search/catalog/2174939","FamilySearch.org")</f>
        <v>FamilySearch.org</v>
      </c>
      <c r="G2397" s="12"/>
      <c r="H2397" s="8">
        <v>21</v>
      </c>
      <c r="I2397" s="15" t="s">
        <v>18</v>
      </c>
    </row>
    <row r="2398" spans="1:9" ht="31.2">
      <c r="A2398" s="8">
        <v>7284583</v>
      </c>
      <c r="B2398" s="8" t="s">
        <v>249</v>
      </c>
      <c r="C2398" s="35" t="s">
        <v>3498</v>
      </c>
      <c r="D2398" s="12"/>
      <c r="E2398" s="12"/>
      <c r="F2398" s="31" t="s">
        <v>43</v>
      </c>
      <c r="G2398" s="12"/>
      <c r="H2398" s="8">
        <v>21</v>
      </c>
      <c r="I2398" s="15" t="s">
        <v>18</v>
      </c>
    </row>
    <row r="2399" spans="1:9" ht="31.2">
      <c r="A2399" s="8">
        <v>7290159</v>
      </c>
      <c r="B2399" s="8" t="s">
        <v>249</v>
      </c>
      <c r="C2399" s="54" t="str">
        <f>HYPERLINK("https://catalog.archives.gov/search?q=*:*&amp;f.ancestorNaIds=7290159&amp;sort=naIdSort%20asc","Naturalization Depositions, Wisconsin (Eastern District, Milwaukee Term), 1908-1981")</f>
        <v>Naturalization Depositions, Wisconsin (Eastern District, Milwaukee Term), 1908-1981</v>
      </c>
      <c r="D2399" s="12"/>
      <c r="E2399" s="12"/>
      <c r="F2399" s="31" t="str">
        <f t="shared" ref="F2399:F2400" si="112">HYPERLINK("https://www.familysearch.org/search/catalog/2174939","FamilySearch.org")</f>
        <v>FamilySearch.org</v>
      </c>
      <c r="G2399" s="12"/>
      <c r="H2399" s="8">
        <v>21</v>
      </c>
      <c r="I2399" s="15" t="s">
        <v>18</v>
      </c>
    </row>
    <row r="2400" spans="1:9" ht="31.2">
      <c r="A2400" s="8">
        <v>7290188</v>
      </c>
      <c r="B2400" s="8" t="s">
        <v>249</v>
      </c>
      <c r="C2400" s="54" t="str">
        <f>HYPERLINK("https://catalog.archives.gov/search?q=*:*&amp;f.ancestorNaIds=7290188&amp;sort=naIdSort%20asc","Naturalization Orders, Wisconsin (Eastern District, Milwaukee Term), 1929-1992")</f>
        <v>Naturalization Orders, Wisconsin (Eastern District, Milwaukee Term), 1929-1992</v>
      </c>
      <c r="D2400" s="12"/>
      <c r="E2400" s="12"/>
      <c r="F2400" s="31" t="str">
        <f t="shared" si="112"/>
        <v>FamilySearch.org</v>
      </c>
      <c r="G2400" s="12"/>
      <c r="H2400" s="8">
        <v>21</v>
      </c>
      <c r="I2400" s="15" t="s">
        <v>18</v>
      </c>
    </row>
    <row r="2401" spans="1:9" ht="31.2">
      <c r="A2401" s="8">
        <v>7385089</v>
      </c>
      <c r="B2401" s="8" t="s">
        <v>249</v>
      </c>
      <c r="C2401" s="54" t="s">
        <v>3499</v>
      </c>
      <c r="D2401" s="12"/>
      <c r="E2401" s="12"/>
      <c r="F2401" s="31" t="str">
        <f>HYPERLINK("https://www.familysearch.org/search/catalog/2179222","FamilySearch.org")</f>
        <v>FamilySearch.org</v>
      </c>
      <c r="G2401" s="12"/>
      <c r="H2401" s="8">
        <v>21</v>
      </c>
      <c r="I2401" s="15" t="s">
        <v>11</v>
      </c>
    </row>
    <row r="2402" spans="1:9" ht="62.4">
      <c r="A2402" s="8">
        <v>7388457</v>
      </c>
      <c r="B2402" s="8" t="s">
        <v>249</v>
      </c>
      <c r="C2402" s="37" t="s">
        <v>3500</v>
      </c>
      <c r="D2402" s="12"/>
      <c r="E2402" s="12"/>
      <c r="F2402" s="12"/>
      <c r="G2402" s="97" t="s">
        <v>3501</v>
      </c>
      <c r="H2402" s="8">
        <v>82</v>
      </c>
      <c r="I2402" s="14" t="s">
        <v>15</v>
      </c>
    </row>
    <row r="2403" spans="1:9" ht="62.4">
      <c r="A2403" s="8">
        <v>7388459</v>
      </c>
      <c r="B2403" s="8" t="s">
        <v>249</v>
      </c>
      <c r="C2403" s="37" t="s">
        <v>3502</v>
      </c>
      <c r="D2403" s="12"/>
      <c r="E2403" s="12"/>
      <c r="F2403" s="12"/>
      <c r="G2403" s="97" t="s">
        <v>3501</v>
      </c>
      <c r="H2403" s="8">
        <v>82</v>
      </c>
      <c r="I2403" s="14" t="s">
        <v>15</v>
      </c>
    </row>
    <row r="2404" spans="1:9" ht="62.4">
      <c r="A2404" s="8">
        <v>7388606</v>
      </c>
      <c r="B2404" s="8" t="s">
        <v>249</v>
      </c>
      <c r="C2404" s="37" t="s">
        <v>3503</v>
      </c>
      <c r="D2404" s="12"/>
      <c r="E2404" s="12"/>
      <c r="F2404" s="12"/>
      <c r="G2404" s="60" t="str">
        <f>HYPERLINK("https://fraser.stlouisfed.org/archival/1344#473063","Federal Reserve Bank of St. Louis")</f>
        <v>Federal Reserve Bank of St. Louis</v>
      </c>
      <c r="H2404" s="8">
        <v>82</v>
      </c>
      <c r="I2404" s="7" t="s">
        <v>15</v>
      </c>
    </row>
    <row r="2405" spans="1:9" ht="46.8">
      <c r="A2405" s="29">
        <v>7408555</v>
      </c>
      <c r="B2405" s="8" t="s">
        <v>249</v>
      </c>
      <c r="C2405" s="35" t="s">
        <v>3504</v>
      </c>
      <c r="D2405" s="12"/>
      <c r="E2405" s="26" t="s">
        <v>14</v>
      </c>
      <c r="F2405" s="12"/>
      <c r="G2405" s="12"/>
      <c r="H2405" s="33">
        <v>117</v>
      </c>
      <c r="I2405" s="23" t="s">
        <v>11</v>
      </c>
    </row>
    <row r="2406" spans="1:9" ht="31.2">
      <c r="A2406" s="29">
        <v>7551458</v>
      </c>
      <c r="B2406" s="8" t="s">
        <v>249</v>
      </c>
      <c r="C2406" s="16" t="s">
        <v>3505</v>
      </c>
      <c r="D2406" s="12"/>
      <c r="E2406" s="26" t="s">
        <v>14</v>
      </c>
      <c r="F2406" s="32" t="s">
        <v>43</v>
      </c>
      <c r="G2406" s="12"/>
      <c r="H2406" s="33">
        <v>49</v>
      </c>
      <c r="I2406" s="14" t="s">
        <v>15</v>
      </c>
    </row>
    <row r="2407" spans="1:9" ht="31.2">
      <c r="A2407" s="29">
        <v>7551460</v>
      </c>
      <c r="B2407" s="8" t="s">
        <v>249</v>
      </c>
      <c r="C2407" s="34" t="s">
        <v>3506</v>
      </c>
      <c r="D2407" s="12"/>
      <c r="E2407" s="26" t="s">
        <v>14</v>
      </c>
      <c r="F2407" s="32" t="s">
        <v>43</v>
      </c>
      <c r="G2407" s="12"/>
      <c r="H2407" s="33">
        <v>49</v>
      </c>
      <c r="I2407" s="14" t="s">
        <v>11</v>
      </c>
    </row>
    <row r="2408" spans="1:9" ht="31.2">
      <c r="A2408" s="29">
        <v>7551461</v>
      </c>
      <c r="B2408" s="8" t="s">
        <v>249</v>
      </c>
      <c r="C2408" s="34" t="s">
        <v>3507</v>
      </c>
      <c r="D2408" s="12"/>
      <c r="E2408" s="26" t="s">
        <v>14</v>
      </c>
      <c r="F2408" s="32" t="s">
        <v>43</v>
      </c>
      <c r="G2408" s="12"/>
      <c r="H2408" s="33">
        <v>49</v>
      </c>
      <c r="I2408" s="14" t="s">
        <v>11</v>
      </c>
    </row>
    <row r="2409" spans="1:9" ht="31.2">
      <c r="A2409" s="29">
        <v>7551462</v>
      </c>
      <c r="B2409" s="8" t="s">
        <v>249</v>
      </c>
      <c r="C2409" s="34" t="s">
        <v>3508</v>
      </c>
      <c r="D2409" s="12"/>
      <c r="E2409" s="26" t="s">
        <v>14</v>
      </c>
      <c r="F2409" s="32" t="s">
        <v>43</v>
      </c>
      <c r="G2409" s="12"/>
      <c r="H2409" s="33">
        <v>49</v>
      </c>
      <c r="I2409" s="14" t="s">
        <v>11</v>
      </c>
    </row>
    <row r="2410" spans="1:9" ht="31.2">
      <c r="A2410" s="29">
        <v>7551463</v>
      </c>
      <c r="B2410" s="8" t="s">
        <v>249</v>
      </c>
      <c r="C2410" s="34" t="s">
        <v>3509</v>
      </c>
      <c r="D2410" s="12"/>
      <c r="E2410" s="26" t="s">
        <v>14</v>
      </c>
      <c r="F2410" s="32" t="s">
        <v>43</v>
      </c>
      <c r="G2410" s="12"/>
      <c r="H2410" s="33">
        <v>49</v>
      </c>
      <c r="I2410" s="14" t="s">
        <v>11</v>
      </c>
    </row>
    <row r="2411" spans="1:9" ht="31.2">
      <c r="A2411" s="29">
        <v>7551465</v>
      </c>
      <c r="B2411" s="8" t="s">
        <v>249</v>
      </c>
      <c r="C2411" s="34" t="s">
        <v>3510</v>
      </c>
      <c r="D2411" s="12"/>
      <c r="E2411" s="26" t="s">
        <v>14</v>
      </c>
      <c r="F2411" s="32" t="s">
        <v>43</v>
      </c>
      <c r="G2411" s="12"/>
      <c r="H2411" s="33">
        <v>49</v>
      </c>
      <c r="I2411" s="14" t="s">
        <v>11</v>
      </c>
    </row>
    <row r="2412" spans="1:9" ht="31.2">
      <c r="A2412" s="29">
        <v>7551466</v>
      </c>
      <c r="B2412" s="8" t="s">
        <v>249</v>
      </c>
      <c r="C2412" s="34" t="s">
        <v>3511</v>
      </c>
      <c r="D2412" s="12"/>
      <c r="E2412" s="26" t="s">
        <v>14</v>
      </c>
      <c r="F2412" s="32" t="s">
        <v>43</v>
      </c>
      <c r="G2412" s="12"/>
      <c r="H2412" s="33">
        <v>49</v>
      </c>
      <c r="I2412" s="14" t="s">
        <v>11</v>
      </c>
    </row>
    <row r="2413" spans="1:9" ht="31.2">
      <c r="A2413" s="29">
        <v>7551467</v>
      </c>
      <c r="B2413" s="8" t="s">
        <v>249</v>
      </c>
      <c r="C2413" s="34" t="s">
        <v>3512</v>
      </c>
      <c r="D2413" s="12"/>
      <c r="E2413" s="12"/>
      <c r="F2413" s="32" t="s">
        <v>43</v>
      </c>
      <c r="G2413" s="12"/>
      <c r="H2413" s="33">
        <v>49</v>
      </c>
      <c r="I2413" s="14" t="s">
        <v>11</v>
      </c>
    </row>
    <row r="2414" spans="1:9" ht="31.2">
      <c r="A2414" s="29">
        <v>7551468</v>
      </c>
      <c r="B2414" s="8" t="s">
        <v>249</v>
      </c>
      <c r="C2414" s="34" t="s">
        <v>3513</v>
      </c>
      <c r="D2414" s="12"/>
      <c r="E2414" s="26" t="s">
        <v>14</v>
      </c>
      <c r="F2414" s="32" t="s">
        <v>43</v>
      </c>
      <c r="G2414" s="12"/>
      <c r="H2414" s="33">
        <v>49</v>
      </c>
      <c r="I2414" s="14" t="s">
        <v>11</v>
      </c>
    </row>
    <row r="2415" spans="1:9" ht="31.2">
      <c r="A2415" s="29">
        <v>7551469</v>
      </c>
      <c r="B2415" s="8" t="s">
        <v>249</v>
      </c>
      <c r="C2415" s="34" t="s">
        <v>3514</v>
      </c>
      <c r="D2415" s="12"/>
      <c r="E2415" s="12"/>
      <c r="F2415" s="32" t="s">
        <v>43</v>
      </c>
      <c r="G2415" s="12"/>
      <c r="H2415" s="33">
        <v>49</v>
      </c>
      <c r="I2415" s="14" t="s">
        <v>11</v>
      </c>
    </row>
    <row r="2416" spans="1:9" ht="31.2">
      <c r="A2416" s="29">
        <v>7551470</v>
      </c>
      <c r="B2416" s="8" t="s">
        <v>249</v>
      </c>
      <c r="C2416" s="34" t="s">
        <v>3515</v>
      </c>
      <c r="D2416" s="12"/>
      <c r="E2416" s="26" t="s">
        <v>14</v>
      </c>
      <c r="F2416" s="32" t="s">
        <v>43</v>
      </c>
      <c r="G2416" s="12"/>
      <c r="H2416" s="33">
        <v>49</v>
      </c>
      <c r="I2416" s="14" t="s">
        <v>11</v>
      </c>
    </row>
    <row r="2417" spans="1:9" ht="31.2">
      <c r="A2417" s="29">
        <v>7551471</v>
      </c>
      <c r="B2417" s="8" t="s">
        <v>249</v>
      </c>
      <c r="C2417" s="34" t="s">
        <v>3516</v>
      </c>
      <c r="D2417" s="12"/>
      <c r="E2417" s="12"/>
      <c r="F2417" s="32" t="s">
        <v>43</v>
      </c>
      <c r="G2417" s="12"/>
      <c r="H2417" s="33">
        <v>49</v>
      </c>
      <c r="I2417" s="14" t="s">
        <v>11</v>
      </c>
    </row>
    <row r="2418" spans="1:9" ht="31.2">
      <c r="A2418" s="29">
        <v>7551472</v>
      </c>
      <c r="B2418" s="8" t="s">
        <v>249</v>
      </c>
      <c r="C2418" s="34" t="s">
        <v>3517</v>
      </c>
      <c r="D2418" s="12"/>
      <c r="E2418" s="12"/>
      <c r="F2418" s="32" t="s">
        <v>43</v>
      </c>
      <c r="G2418" s="12"/>
      <c r="H2418" s="33">
        <v>49</v>
      </c>
      <c r="I2418" s="14" t="s">
        <v>11</v>
      </c>
    </row>
    <row r="2419" spans="1:9" ht="46.8">
      <c r="A2419" s="8">
        <v>7564756</v>
      </c>
      <c r="B2419" s="8" t="s">
        <v>249</v>
      </c>
      <c r="C2419" s="54" t="s">
        <v>3518</v>
      </c>
      <c r="D2419" s="12"/>
      <c r="E2419" s="12"/>
      <c r="F2419" s="31" t="str">
        <f>HYPERLINK("https://www.familysearch.org/search/catalog/2179222","FamilySearch.org")</f>
        <v>FamilySearch.org</v>
      </c>
      <c r="G2419" s="12"/>
      <c r="H2419" s="8">
        <v>21</v>
      </c>
      <c r="I2419" s="15" t="s">
        <v>11</v>
      </c>
    </row>
    <row r="2420" spans="1:9" ht="31.2">
      <c r="A2420" s="8">
        <v>7580914</v>
      </c>
      <c r="B2420" s="8" t="s">
        <v>249</v>
      </c>
      <c r="C2420" s="54" t="str">
        <f>HYPERLINK("https://catalog.archives.gov/search?q=*:*&amp;f.ancestorNaIds=7580914&amp;sort=naIdSort%20asc","Petitions for Naturalization, Wisconsin (Western District, Superior Term), 1910-1955")</f>
        <v>Petitions for Naturalization, Wisconsin (Western District, Superior Term), 1910-1955</v>
      </c>
      <c r="D2420" s="12"/>
      <c r="E2420" s="12"/>
      <c r="F2420" s="31" t="str">
        <f t="shared" ref="F2420:F2422" si="113">HYPERLINK("https://www.familysearch.org/search/catalog/3259501","FamilySearch.org")</f>
        <v>FamilySearch.org</v>
      </c>
      <c r="G2420" s="12"/>
      <c r="H2420" s="8">
        <v>21</v>
      </c>
      <c r="I2420" s="15" t="s">
        <v>18</v>
      </c>
    </row>
    <row r="2421" spans="1:9" ht="46.8">
      <c r="A2421" s="8">
        <v>7580933</v>
      </c>
      <c r="B2421" s="8" t="s">
        <v>249</v>
      </c>
      <c r="C2421" s="54" t="str">
        <f>HYPERLINK("https://catalog.archives.gov/search?q=*:*&amp;f.ancestorNaIds=7580933&amp;sort=naIdSort%20asc","Declarations of Intention for Citizenship, Wisconsin (Western District, Superior Term), 1902-1921")</f>
        <v>Declarations of Intention for Citizenship, Wisconsin (Western District, Superior Term), 1902-1921</v>
      </c>
      <c r="D2421" s="12"/>
      <c r="E2421" s="12"/>
      <c r="F2421" s="31" t="str">
        <f t="shared" si="113"/>
        <v>FamilySearch.org</v>
      </c>
      <c r="G2421" s="12"/>
      <c r="H2421" s="8">
        <v>21</v>
      </c>
      <c r="I2421" s="15" t="s">
        <v>11</v>
      </c>
    </row>
    <row r="2422" spans="1:9" ht="31.2">
      <c r="A2422" s="8">
        <v>7580934</v>
      </c>
      <c r="B2422" s="8" t="s">
        <v>249</v>
      </c>
      <c r="C2422" s="54" t="str">
        <f>HYPERLINK("https://catalog.archives.gov/search?q=*:*&amp;f.ancestorNaIds=7580934&amp;sort=naIdSort%20asc","Naturalization Certificate Stubs, Wisconsin (Western District, Superior Term), 1910-1928")</f>
        <v>Naturalization Certificate Stubs, Wisconsin (Western District, Superior Term), 1910-1928</v>
      </c>
      <c r="D2422" s="12"/>
      <c r="E2422" s="12"/>
      <c r="F2422" s="31" t="str">
        <f t="shared" si="113"/>
        <v>FamilySearch.org</v>
      </c>
      <c r="G2422" s="12"/>
      <c r="H2422" s="8">
        <v>21</v>
      </c>
      <c r="I2422" s="15" t="s">
        <v>11</v>
      </c>
    </row>
    <row r="2423" spans="1:9" ht="31.2">
      <c r="A2423" s="29">
        <v>7591749</v>
      </c>
      <c r="B2423" s="8" t="s">
        <v>249</v>
      </c>
      <c r="C2423" s="35" t="s">
        <v>3519</v>
      </c>
      <c r="D2423" s="12"/>
      <c r="E2423" s="26" t="s">
        <v>14</v>
      </c>
      <c r="F2423" s="12"/>
      <c r="G2423" s="12"/>
      <c r="H2423" s="33">
        <v>41</v>
      </c>
      <c r="I2423" s="14" t="s">
        <v>11</v>
      </c>
    </row>
    <row r="2424" spans="1:9" ht="31.2">
      <c r="A2424" s="81">
        <v>7644720</v>
      </c>
      <c r="B2424" s="8" t="s">
        <v>249</v>
      </c>
      <c r="C2424" s="34" t="s">
        <v>3520</v>
      </c>
      <c r="D2424" s="32" t="s">
        <v>220</v>
      </c>
      <c r="E2424" s="32" t="str">
        <f>HYPERLINK("https://search.ancestryinstitution.com/search/db.aspx?dbid=2238","Ancestry.com")</f>
        <v>Ancestry.com</v>
      </c>
      <c r="F2424" s="12"/>
      <c r="G2424" s="12"/>
      <c r="H2424" s="33">
        <v>147</v>
      </c>
      <c r="I2424" s="14" t="s">
        <v>11</v>
      </c>
    </row>
    <row r="2425" spans="1:9" ht="15.6">
      <c r="A2425" s="29">
        <v>7644721</v>
      </c>
      <c r="B2425" s="8" t="s">
        <v>249</v>
      </c>
      <c r="C2425" s="35" t="s">
        <v>3521</v>
      </c>
      <c r="D2425" s="32" t="str">
        <f>HYPERLINK("https://www.fold3.com/title/765/wwii-old-mans-draft-registration-cards","Fold3.com")</f>
        <v>Fold3.com</v>
      </c>
      <c r="E2425" s="26" t="s">
        <v>14</v>
      </c>
      <c r="F2425" s="12"/>
      <c r="G2425" s="12"/>
      <c r="H2425" s="33">
        <v>147</v>
      </c>
      <c r="I2425" s="14" t="s">
        <v>11</v>
      </c>
    </row>
    <row r="2426" spans="1:9" ht="31.2">
      <c r="A2426" s="81">
        <v>7644723</v>
      </c>
      <c r="B2426" s="8" t="s">
        <v>249</v>
      </c>
      <c r="C2426" s="37" t="s">
        <v>3522</v>
      </c>
      <c r="D2426" s="32" t="s">
        <v>220</v>
      </c>
      <c r="E2426" s="32" t="str">
        <f t="shared" ref="E2426:E2433" si="114">HYPERLINK("https://search.ancestryinstitution.com/search/db.aspx?dbid=2238","Ancestry.com")</f>
        <v>Ancestry.com</v>
      </c>
      <c r="F2426" s="12"/>
      <c r="G2426" s="12"/>
      <c r="H2426" s="33">
        <v>147</v>
      </c>
      <c r="I2426" s="14" t="s">
        <v>15</v>
      </c>
    </row>
    <row r="2427" spans="1:9" ht="31.2">
      <c r="A2427" s="81">
        <v>7644724</v>
      </c>
      <c r="B2427" s="8" t="s">
        <v>249</v>
      </c>
      <c r="C2427" s="34" t="s">
        <v>3523</v>
      </c>
      <c r="D2427" s="32" t="s">
        <v>220</v>
      </c>
      <c r="E2427" s="32" t="str">
        <f t="shared" si="114"/>
        <v>Ancestry.com</v>
      </c>
      <c r="F2427" s="12"/>
      <c r="G2427" s="12"/>
      <c r="H2427" s="33">
        <v>147</v>
      </c>
      <c r="I2427" s="14" t="s">
        <v>11</v>
      </c>
    </row>
    <row r="2428" spans="1:9" ht="31.2">
      <c r="A2428" s="81">
        <v>7644725</v>
      </c>
      <c r="B2428" s="8" t="s">
        <v>249</v>
      </c>
      <c r="C2428" s="37" t="s">
        <v>3524</v>
      </c>
      <c r="D2428" s="32" t="s">
        <v>220</v>
      </c>
      <c r="E2428" s="32" t="str">
        <f t="shared" si="114"/>
        <v>Ancestry.com</v>
      </c>
      <c r="F2428" s="12"/>
      <c r="G2428" s="12"/>
      <c r="H2428" s="33">
        <v>147</v>
      </c>
      <c r="I2428" s="14" t="s">
        <v>15</v>
      </c>
    </row>
    <row r="2429" spans="1:9" ht="31.2">
      <c r="A2429" s="36">
        <v>7644726</v>
      </c>
      <c r="B2429" s="8" t="s">
        <v>249</v>
      </c>
      <c r="C2429" s="37" t="s">
        <v>3525</v>
      </c>
      <c r="D2429" s="32" t="s">
        <v>220</v>
      </c>
      <c r="E2429" s="32" t="str">
        <f t="shared" si="114"/>
        <v>Ancestry.com</v>
      </c>
      <c r="F2429" s="12"/>
      <c r="G2429" s="12"/>
      <c r="H2429" s="33">
        <v>147</v>
      </c>
      <c r="I2429" s="14" t="s">
        <v>15</v>
      </c>
    </row>
    <row r="2430" spans="1:9" ht="31.2">
      <c r="A2430" s="36">
        <v>7644727</v>
      </c>
      <c r="B2430" s="8" t="s">
        <v>249</v>
      </c>
      <c r="C2430" s="37" t="s">
        <v>3526</v>
      </c>
      <c r="D2430" s="32" t="s">
        <v>220</v>
      </c>
      <c r="E2430" s="32" t="str">
        <f t="shared" si="114"/>
        <v>Ancestry.com</v>
      </c>
      <c r="F2430" s="12"/>
      <c r="G2430" s="12"/>
      <c r="H2430" s="33">
        <v>147</v>
      </c>
      <c r="I2430" s="14" t="s">
        <v>15</v>
      </c>
    </row>
    <row r="2431" spans="1:9" ht="31.2">
      <c r="A2431" s="36">
        <v>7644728</v>
      </c>
      <c r="B2431" s="8" t="s">
        <v>249</v>
      </c>
      <c r="C2431" s="37" t="s">
        <v>3527</v>
      </c>
      <c r="D2431" s="32" t="s">
        <v>220</v>
      </c>
      <c r="E2431" s="32" t="str">
        <f t="shared" si="114"/>
        <v>Ancestry.com</v>
      </c>
      <c r="F2431" s="12"/>
      <c r="G2431" s="12"/>
      <c r="H2431" s="33">
        <v>147</v>
      </c>
      <c r="I2431" s="14" t="s">
        <v>15</v>
      </c>
    </row>
    <row r="2432" spans="1:9" ht="31.2">
      <c r="A2432" s="36">
        <v>7644729</v>
      </c>
      <c r="B2432" s="8" t="s">
        <v>249</v>
      </c>
      <c r="C2432" s="37" t="s">
        <v>3528</v>
      </c>
      <c r="D2432" s="32" t="s">
        <v>220</v>
      </c>
      <c r="E2432" s="32" t="str">
        <f t="shared" si="114"/>
        <v>Ancestry.com</v>
      </c>
      <c r="F2432" s="12"/>
      <c r="G2432" s="12"/>
      <c r="H2432" s="33">
        <v>147</v>
      </c>
      <c r="I2432" s="14" t="s">
        <v>15</v>
      </c>
    </row>
    <row r="2433" spans="1:9" ht="31.2">
      <c r="A2433" s="36">
        <v>7644730</v>
      </c>
      <c r="B2433" s="8" t="s">
        <v>249</v>
      </c>
      <c r="C2433" s="37" t="s">
        <v>3529</v>
      </c>
      <c r="D2433" s="32" t="s">
        <v>220</v>
      </c>
      <c r="E2433" s="32" t="str">
        <f t="shared" si="114"/>
        <v>Ancestry.com</v>
      </c>
      <c r="F2433" s="12"/>
      <c r="G2433" s="12"/>
      <c r="H2433" s="33">
        <v>147</v>
      </c>
      <c r="I2433" s="14" t="s">
        <v>15</v>
      </c>
    </row>
    <row r="2434" spans="1:9" ht="31.2">
      <c r="A2434" s="36">
        <v>7644731</v>
      </c>
      <c r="B2434" s="8" t="s">
        <v>249</v>
      </c>
      <c r="C2434" s="37" t="s">
        <v>3530</v>
      </c>
      <c r="D2434" s="32" t="s">
        <v>220</v>
      </c>
      <c r="E2434" s="26" t="s">
        <v>14</v>
      </c>
      <c r="F2434" s="12"/>
      <c r="G2434" s="12"/>
      <c r="H2434" s="33">
        <v>147</v>
      </c>
      <c r="I2434" s="14" t="s">
        <v>15</v>
      </c>
    </row>
    <row r="2435" spans="1:9" ht="31.2">
      <c r="A2435" s="29">
        <v>7644732</v>
      </c>
      <c r="B2435" s="8" t="s">
        <v>249</v>
      </c>
      <c r="C2435" s="34" t="s">
        <v>3531</v>
      </c>
      <c r="D2435" s="32" t="s">
        <v>220</v>
      </c>
      <c r="E2435" s="26" t="s">
        <v>14</v>
      </c>
      <c r="F2435" s="12"/>
      <c r="G2435" s="12"/>
      <c r="H2435" s="33">
        <v>147</v>
      </c>
      <c r="I2435" s="14" t="s">
        <v>11</v>
      </c>
    </row>
    <row r="2436" spans="1:9" ht="31.2">
      <c r="A2436" s="29">
        <v>7644733</v>
      </c>
      <c r="B2436" s="8" t="s">
        <v>249</v>
      </c>
      <c r="C2436" s="37" t="s">
        <v>3532</v>
      </c>
      <c r="D2436" s="32"/>
      <c r="E2436" s="32" t="str">
        <f>HYPERLINK("https://search.ancestryinstitution.com/search/db.aspx?dbid=2238","Ancestry.com")</f>
        <v>Ancestry.com</v>
      </c>
      <c r="F2436" s="32"/>
      <c r="G2436" s="12"/>
      <c r="H2436" s="33">
        <v>147</v>
      </c>
      <c r="I2436" s="14" t="s">
        <v>15</v>
      </c>
    </row>
    <row r="2437" spans="1:9" ht="31.2">
      <c r="A2437" s="36">
        <v>7644734</v>
      </c>
      <c r="B2437" s="8" t="s">
        <v>249</v>
      </c>
      <c r="C2437" s="37" t="s">
        <v>3533</v>
      </c>
      <c r="D2437" s="32" t="s">
        <v>220</v>
      </c>
      <c r="E2437" s="26" t="s">
        <v>14</v>
      </c>
      <c r="F2437" s="12"/>
      <c r="G2437" s="12"/>
      <c r="H2437" s="33">
        <v>147</v>
      </c>
      <c r="I2437" s="14" t="s">
        <v>15</v>
      </c>
    </row>
    <row r="2438" spans="1:9" ht="31.2">
      <c r="A2438" s="36">
        <v>7644735</v>
      </c>
      <c r="B2438" s="8" t="s">
        <v>249</v>
      </c>
      <c r="C2438" s="37" t="s">
        <v>3534</v>
      </c>
      <c r="D2438" s="32" t="s">
        <v>220</v>
      </c>
      <c r="E2438" s="26" t="s">
        <v>14</v>
      </c>
      <c r="F2438" s="12"/>
      <c r="G2438" s="12"/>
      <c r="H2438" s="33">
        <v>147</v>
      </c>
      <c r="I2438" s="14" t="s">
        <v>15</v>
      </c>
    </row>
    <row r="2439" spans="1:9" ht="31.2">
      <c r="A2439" s="36">
        <v>7644736</v>
      </c>
      <c r="B2439" s="8" t="s">
        <v>249</v>
      </c>
      <c r="C2439" s="37" t="s">
        <v>3535</v>
      </c>
      <c r="D2439" s="32" t="s">
        <v>220</v>
      </c>
      <c r="E2439" s="26" t="s">
        <v>14</v>
      </c>
      <c r="F2439" s="12"/>
      <c r="G2439" s="12"/>
      <c r="H2439" s="33">
        <v>147</v>
      </c>
      <c r="I2439" s="14" t="s">
        <v>15</v>
      </c>
    </row>
    <row r="2440" spans="1:9" ht="31.2">
      <c r="A2440" s="36">
        <v>7644737</v>
      </c>
      <c r="B2440" s="8" t="s">
        <v>249</v>
      </c>
      <c r="C2440" s="37" t="s">
        <v>3536</v>
      </c>
      <c r="D2440" s="32" t="s">
        <v>220</v>
      </c>
      <c r="E2440" s="26" t="s">
        <v>14</v>
      </c>
      <c r="F2440" s="12"/>
      <c r="G2440" s="12"/>
      <c r="H2440" s="33">
        <v>147</v>
      </c>
      <c r="I2440" s="14" t="s">
        <v>15</v>
      </c>
    </row>
    <row r="2441" spans="1:9" ht="31.2">
      <c r="A2441" s="36">
        <v>7644738</v>
      </c>
      <c r="B2441" s="8" t="s">
        <v>249</v>
      </c>
      <c r="C2441" s="34" t="s">
        <v>3537</v>
      </c>
      <c r="D2441" s="32" t="s">
        <v>220</v>
      </c>
      <c r="E2441" s="26" t="s">
        <v>14</v>
      </c>
      <c r="F2441" s="12"/>
      <c r="G2441" s="12"/>
      <c r="H2441" s="33">
        <v>147</v>
      </c>
      <c r="I2441" s="14" t="s">
        <v>18</v>
      </c>
    </row>
    <row r="2442" spans="1:9" ht="31.2">
      <c r="A2442" s="36">
        <v>7644739</v>
      </c>
      <c r="B2442" s="8" t="s">
        <v>249</v>
      </c>
      <c r="C2442" s="37" t="s">
        <v>3538</v>
      </c>
      <c r="D2442" s="32" t="s">
        <v>220</v>
      </c>
      <c r="E2442" s="26" t="s">
        <v>14</v>
      </c>
      <c r="F2442" s="12"/>
      <c r="G2442" s="12"/>
      <c r="H2442" s="33">
        <v>147</v>
      </c>
      <c r="I2442" s="14" t="s">
        <v>15</v>
      </c>
    </row>
    <row r="2443" spans="1:9" ht="31.2">
      <c r="A2443" s="29">
        <v>7644740</v>
      </c>
      <c r="B2443" s="8" t="s">
        <v>249</v>
      </c>
      <c r="C2443" s="16" t="s">
        <v>3539</v>
      </c>
      <c r="D2443" s="32" t="str">
        <f>HYPERLINK("https://www.fold3.com/title/765/wwii-old-mans-draft-registration-cards","Fold3.com")</f>
        <v>Fold3.com</v>
      </c>
      <c r="E2443" s="26" t="s">
        <v>14</v>
      </c>
      <c r="F2443" s="12"/>
      <c r="G2443" s="12"/>
      <c r="H2443" s="33">
        <v>147</v>
      </c>
      <c r="I2443" s="14" t="s">
        <v>15</v>
      </c>
    </row>
    <row r="2444" spans="1:9" ht="31.2">
      <c r="A2444" s="36">
        <v>7644741</v>
      </c>
      <c r="B2444" s="8" t="s">
        <v>249</v>
      </c>
      <c r="C2444" s="37" t="s">
        <v>3540</v>
      </c>
      <c r="D2444" s="32" t="s">
        <v>220</v>
      </c>
      <c r="E2444" s="26" t="s">
        <v>14</v>
      </c>
      <c r="F2444" s="12"/>
      <c r="G2444" s="12"/>
      <c r="H2444" s="33">
        <v>147</v>
      </c>
      <c r="I2444" s="14" t="s">
        <v>15</v>
      </c>
    </row>
    <row r="2445" spans="1:9" ht="31.2">
      <c r="A2445" s="36">
        <v>7644742</v>
      </c>
      <c r="B2445" s="8" t="s">
        <v>249</v>
      </c>
      <c r="C2445" s="16" t="s">
        <v>3541</v>
      </c>
      <c r="D2445" s="12"/>
      <c r="E2445" s="26" t="s">
        <v>14</v>
      </c>
      <c r="F2445" s="12"/>
      <c r="G2445" s="12"/>
      <c r="H2445" s="33">
        <v>147</v>
      </c>
      <c r="I2445" s="14" t="s">
        <v>15</v>
      </c>
    </row>
    <row r="2446" spans="1:9" ht="31.2">
      <c r="A2446" s="29">
        <v>7644743</v>
      </c>
      <c r="B2446" s="8" t="s">
        <v>249</v>
      </c>
      <c r="C2446" s="16" t="s">
        <v>3542</v>
      </c>
      <c r="D2446" s="12"/>
      <c r="E2446" s="26" t="s">
        <v>14</v>
      </c>
      <c r="F2446" s="12"/>
      <c r="G2446" s="12"/>
      <c r="H2446" s="33">
        <v>147</v>
      </c>
      <c r="I2446" s="14" t="s">
        <v>15</v>
      </c>
    </row>
    <row r="2447" spans="1:9" ht="31.2">
      <c r="A2447" s="29">
        <v>7644744</v>
      </c>
      <c r="B2447" s="8" t="s">
        <v>249</v>
      </c>
      <c r="C2447" s="16" t="s">
        <v>3543</v>
      </c>
      <c r="D2447" s="12"/>
      <c r="E2447" s="26" t="s">
        <v>14</v>
      </c>
      <c r="F2447" s="12"/>
      <c r="G2447" s="12"/>
      <c r="H2447" s="33">
        <v>147</v>
      </c>
      <c r="I2447" s="14" t="s">
        <v>15</v>
      </c>
    </row>
    <row r="2448" spans="1:9" ht="31.2">
      <c r="A2448" s="29">
        <v>7644745</v>
      </c>
      <c r="B2448" s="8" t="s">
        <v>249</v>
      </c>
      <c r="C2448" s="35" t="s">
        <v>3544</v>
      </c>
      <c r="D2448" s="32" t="str">
        <f>HYPERLINK("https://www.fold3.com/title/765/wwii-old-mans-draft-registration-cards","Fold3.com")</f>
        <v>Fold3.com</v>
      </c>
      <c r="E2448" s="26" t="s">
        <v>14</v>
      </c>
      <c r="F2448" s="12"/>
      <c r="G2448" s="12"/>
      <c r="H2448" s="33">
        <v>147</v>
      </c>
      <c r="I2448" s="14" t="s">
        <v>11</v>
      </c>
    </row>
    <row r="2449" spans="1:9" ht="31.2">
      <c r="A2449" s="36">
        <v>7644746</v>
      </c>
      <c r="B2449" s="8" t="s">
        <v>249</v>
      </c>
      <c r="C2449" s="37" t="s">
        <v>3545</v>
      </c>
      <c r="D2449" s="32"/>
      <c r="E2449" s="26" t="s">
        <v>14</v>
      </c>
      <c r="F2449" s="12"/>
      <c r="G2449" s="12"/>
      <c r="H2449" s="33">
        <v>147</v>
      </c>
      <c r="I2449" s="14" t="s">
        <v>15</v>
      </c>
    </row>
    <row r="2450" spans="1:9" ht="31.2">
      <c r="A2450" s="36">
        <v>7644747</v>
      </c>
      <c r="B2450" s="8" t="s">
        <v>249</v>
      </c>
      <c r="C2450" s="37" t="s">
        <v>3546</v>
      </c>
      <c r="D2450" s="32"/>
      <c r="E2450" s="26" t="s">
        <v>14</v>
      </c>
      <c r="F2450" s="12"/>
      <c r="G2450" s="12"/>
      <c r="H2450" s="33">
        <v>147</v>
      </c>
      <c r="I2450" s="14" t="s">
        <v>15</v>
      </c>
    </row>
    <row r="2451" spans="1:9" ht="31.2">
      <c r="A2451" s="36">
        <v>7644748</v>
      </c>
      <c r="B2451" s="8" t="s">
        <v>249</v>
      </c>
      <c r="C2451" s="37" t="s">
        <v>3547</v>
      </c>
      <c r="D2451" s="32"/>
      <c r="E2451" s="26" t="s">
        <v>14</v>
      </c>
      <c r="F2451" s="12"/>
      <c r="G2451" s="12"/>
      <c r="H2451" s="33">
        <v>147</v>
      </c>
      <c r="I2451" s="14" t="s">
        <v>15</v>
      </c>
    </row>
    <row r="2452" spans="1:9" ht="31.2">
      <c r="A2452" s="36">
        <v>7644749</v>
      </c>
      <c r="B2452" s="8" t="s">
        <v>249</v>
      </c>
      <c r="C2452" s="37" t="s">
        <v>3548</v>
      </c>
      <c r="D2452" s="32" t="s">
        <v>220</v>
      </c>
      <c r="E2452" s="26" t="s">
        <v>14</v>
      </c>
      <c r="F2452" s="12"/>
      <c r="G2452" s="12"/>
      <c r="H2452" s="33">
        <v>147</v>
      </c>
      <c r="I2452" s="14" t="s">
        <v>15</v>
      </c>
    </row>
    <row r="2453" spans="1:9" ht="31.2">
      <c r="A2453" s="29">
        <v>7644750</v>
      </c>
      <c r="B2453" s="8" t="s">
        <v>249</v>
      </c>
      <c r="C2453" s="37" t="s">
        <v>3549</v>
      </c>
      <c r="D2453" s="32"/>
      <c r="E2453" s="26" t="s">
        <v>14</v>
      </c>
      <c r="F2453" s="12"/>
      <c r="G2453" s="12"/>
      <c r="H2453" s="33">
        <v>147</v>
      </c>
      <c r="I2453" s="14" t="s">
        <v>15</v>
      </c>
    </row>
    <row r="2454" spans="1:9" ht="31.2">
      <c r="A2454" s="29">
        <v>7644751</v>
      </c>
      <c r="B2454" s="8" t="s">
        <v>249</v>
      </c>
      <c r="C2454" s="98" t="s">
        <v>3550</v>
      </c>
      <c r="D2454" s="32"/>
      <c r="E2454" s="26" t="s">
        <v>14</v>
      </c>
      <c r="F2454" s="12"/>
      <c r="G2454" s="12"/>
      <c r="H2454" s="33">
        <v>147</v>
      </c>
      <c r="I2454" s="14" t="s">
        <v>15</v>
      </c>
    </row>
    <row r="2455" spans="1:9" ht="31.2">
      <c r="A2455" s="29">
        <v>7644752</v>
      </c>
      <c r="B2455" s="8" t="s">
        <v>249</v>
      </c>
      <c r="C2455" s="37" t="s">
        <v>3551</v>
      </c>
      <c r="D2455" s="32"/>
      <c r="E2455" s="26" t="s">
        <v>14</v>
      </c>
      <c r="F2455" s="12"/>
      <c r="G2455" s="12"/>
      <c r="H2455" s="33">
        <v>147</v>
      </c>
      <c r="I2455" s="14" t="s">
        <v>15</v>
      </c>
    </row>
    <row r="2456" spans="1:9" ht="31.2">
      <c r="A2456" s="29">
        <v>7644753</v>
      </c>
      <c r="B2456" s="8" t="s">
        <v>249</v>
      </c>
      <c r="C2456" s="37" t="s">
        <v>3552</v>
      </c>
      <c r="D2456" s="32"/>
      <c r="E2456" s="26" t="s">
        <v>14</v>
      </c>
      <c r="F2456" s="12"/>
      <c r="G2456" s="12"/>
      <c r="H2456" s="33">
        <v>147</v>
      </c>
      <c r="I2456" s="14" t="s">
        <v>15</v>
      </c>
    </row>
    <row r="2457" spans="1:9" ht="31.2">
      <c r="A2457" s="29">
        <v>7644755</v>
      </c>
      <c r="B2457" s="8" t="s">
        <v>249</v>
      </c>
      <c r="C2457" s="37" t="s">
        <v>3553</v>
      </c>
      <c r="D2457" s="32"/>
      <c r="E2457" s="32" t="str">
        <f>HYPERLINK("https://search.ancestryinstitution.com/search/db.aspx?dbid=1002","Ancestry.com")</f>
        <v>Ancestry.com</v>
      </c>
      <c r="F2457" s="12"/>
      <c r="G2457" s="12"/>
      <c r="H2457" s="33">
        <v>147</v>
      </c>
      <c r="I2457" s="14" t="s">
        <v>15</v>
      </c>
    </row>
    <row r="2458" spans="1:9" ht="31.2">
      <c r="A2458" s="29">
        <v>7644756</v>
      </c>
      <c r="B2458" s="8" t="s">
        <v>249</v>
      </c>
      <c r="C2458" s="37" t="s">
        <v>3554</v>
      </c>
      <c r="D2458" s="32"/>
      <c r="E2458" s="26" t="s">
        <v>14</v>
      </c>
      <c r="F2458" s="12"/>
      <c r="G2458" s="12"/>
      <c r="H2458" s="33">
        <v>147</v>
      </c>
      <c r="I2458" s="14" t="s">
        <v>15</v>
      </c>
    </row>
    <row r="2459" spans="1:9" ht="31.2">
      <c r="A2459" s="29">
        <v>7820269</v>
      </c>
      <c r="B2459" s="8" t="s">
        <v>249</v>
      </c>
      <c r="C2459" s="35" t="s">
        <v>3555</v>
      </c>
      <c r="D2459" s="32" t="s">
        <v>220</v>
      </c>
      <c r="E2459" s="12"/>
      <c r="F2459" s="12"/>
      <c r="G2459" s="12"/>
      <c r="H2459" s="33">
        <v>49</v>
      </c>
      <c r="I2459" s="23" t="s">
        <v>18</v>
      </c>
    </row>
    <row r="2460" spans="1:9" ht="46.8">
      <c r="A2460" s="29">
        <v>7820274</v>
      </c>
      <c r="B2460" s="8" t="s">
        <v>249</v>
      </c>
      <c r="C2460" s="35" t="s">
        <v>3556</v>
      </c>
      <c r="D2460" s="32" t="s">
        <v>220</v>
      </c>
      <c r="E2460" s="12"/>
      <c r="F2460" s="32" t="str">
        <f t="shared" ref="F2460:F2461" si="115">HYPERLINK("https://www.familysearch.org/search/catalog/1837758","FamilySearch.org")</f>
        <v>FamilySearch.org</v>
      </c>
      <c r="G2460" s="12"/>
      <c r="H2460" s="33">
        <v>49</v>
      </c>
      <c r="I2460" s="23" t="s">
        <v>18</v>
      </c>
    </row>
    <row r="2461" spans="1:9" ht="46.8">
      <c r="A2461" s="29">
        <v>7820280</v>
      </c>
      <c r="B2461" s="8" t="s">
        <v>249</v>
      </c>
      <c r="C2461" s="35" t="s">
        <v>3557</v>
      </c>
      <c r="D2461" s="32" t="s">
        <v>220</v>
      </c>
      <c r="E2461" s="12"/>
      <c r="F2461" s="32" t="str">
        <f t="shared" si="115"/>
        <v>FamilySearch.org</v>
      </c>
      <c r="G2461" s="12"/>
      <c r="H2461" s="33">
        <v>49</v>
      </c>
      <c r="I2461" s="23" t="s">
        <v>18</v>
      </c>
    </row>
    <row r="2462" spans="1:9" ht="31.2">
      <c r="A2462" s="29">
        <v>7820297</v>
      </c>
      <c r="B2462" s="8" t="s">
        <v>249</v>
      </c>
      <c r="C2462" s="35" t="s">
        <v>3558</v>
      </c>
      <c r="D2462" s="32" t="s">
        <v>220</v>
      </c>
      <c r="E2462" s="12"/>
      <c r="F2462" s="12"/>
      <c r="G2462" s="12"/>
      <c r="H2462" s="33">
        <v>49</v>
      </c>
      <c r="I2462" s="23" t="s">
        <v>18</v>
      </c>
    </row>
    <row r="2463" spans="1:9" ht="46.8">
      <c r="A2463" s="29">
        <v>7820310</v>
      </c>
      <c r="B2463" s="8" t="s">
        <v>249</v>
      </c>
      <c r="C2463" s="35" t="s">
        <v>3559</v>
      </c>
      <c r="D2463" s="32" t="s">
        <v>220</v>
      </c>
      <c r="E2463" s="12"/>
      <c r="F2463" s="12"/>
      <c r="G2463" s="12"/>
      <c r="H2463" s="33">
        <v>49</v>
      </c>
      <c r="I2463" s="23" t="s">
        <v>18</v>
      </c>
    </row>
    <row r="2464" spans="1:9" ht="31.2">
      <c r="A2464" s="29">
        <v>7820334</v>
      </c>
      <c r="B2464" s="8" t="s">
        <v>249</v>
      </c>
      <c r="C2464" s="35" t="s">
        <v>3560</v>
      </c>
      <c r="D2464" s="32" t="s">
        <v>220</v>
      </c>
      <c r="E2464" s="12"/>
      <c r="F2464" s="12"/>
      <c r="G2464" s="12"/>
      <c r="H2464" s="33">
        <v>49</v>
      </c>
      <c r="I2464" s="23" t="s">
        <v>18</v>
      </c>
    </row>
    <row r="2465" spans="1:9" ht="46.8">
      <c r="A2465" s="29">
        <v>7820365</v>
      </c>
      <c r="B2465" s="8" t="s">
        <v>249</v>
      </c>
      <c r="C2465" s="35" t="s">
        <v>3561</v>
      </c>
      <c r="D2465" s="32" t="s">
        <v>220</v>
      </c>
      <c r="E2465" s="12"/>
      <c r="F2465" s="12"/>
      <c r="G2465" s="12"/>
      <c r="H2465" s="33">
        <v>49</v>
      </c>
      <c r="I2465" s="23" t="s">
        <v>18</v>
      </c>
    </row>
    <row r="2466" spans="1:9" ht="31.2">
      <c r="A2466" s="36">
        <v>7820382</v>
      </c>
      <c r="B2466" s="8" t="s">
        <v>249</v>
      </c>
      <c r="C2466" s="35" t="s">
        <v>3562</v>
      </c>
      <c r="D2466" s="32" t="s">
        <v>220</v>
      </c>
      <c r="E2466" s="12"/>
      <c r="F2466" s="12"/>
      <c r="G2466" s="12"/>
      <c r="H2466" s="33">
        <v>49</v>
      </c>
      <c r="I2466" s="23" t="s">
        <v>18</v>
      </c>
    </row>
    <row r="2467" spans="1:9" ht="46.8">
      <c r="A2467" s="36">
        <v>7820437</v>
      </c>
      <c r="B2467" s="8" t="s">
        <v>249</v>
      </c>
      <c r="C2467" s="35" t="s">
        <v>3563</v>
      </c>
      <c r="D2467" s="32" t="s">
        <v>220</v>
      </c>
      <c r="E2467" s="12"/>
      <c r="F2467" s="32" t="str">
        <f>HYPERLINK("https://www.familysearch.org/search/catalog/1837758","FamilySearch.com")</f>
        <v>FamilySearch.com</v>
      </c>
      <c r="G2467" s="12"/>
      <c r="H2467" s="33">
        <v>49</v>
      </c>
      <c r="I2467" s="23" t="s">
        <v>18</v>
      </c>
    </row>
    <row r="2468" spans="1:9" ht="31.2">
      <c r="A2468" s="29">
        <v>7820442</v>
      </c>
      <c r="B2468" s="8" t="s">
        <v>249</v>
      </c>
      <c r="C2468" s="16" t="s">
        <v>3564</v>
      </c>
      <c r="D2468" s="32" t="s">
        <v>220</v>
      </c>
      <c r="E2468" s="12"/>
      <c r="F2468" s="12"/>
      <c r="G2468" s="12"/>
      <c r="H2468" s="33">
        <v>49</v>
      </c>
      <c r="I2468" s="14" t="s">
        <v>15</v>
      </c>
    </row>
    <row r="2469" spans="1:9" ht="31.2">
      <c r="A2469" s="29">
        <v>7820447</v>
      </c>
      <c r="B2469" s="8" t="s">
        <v>249</v>
      </c>
      <c r="C2469" s="35" t="s">
        <v>3565</v>
      </c>
      <c r="D2469" s="32" t="s">
        <v>220</v>
      </c>
      <c r="E2469" s="12"/>
      <c r="F2469" s="32" t="str">
        <f>HYPERLINK("https://www.familysearch.org/search/catalog/1837758","FamilySearch.com")</f>
        <v>FamilySearch.com</v>
      </c>
      <c r="G2469" s="12"/>
      <c r="H2469" s="33">
        <v>49</v>
      </c>
      <c r="I2469" s="23" t="s">
        <v>18</v>
      </c>
    </row>
    <row r="2470" spans="1:9" ht="46.8">
      <c r="A2470" s="8">
        <v>7891149</v>
      </c>
      <c r="B2470" s="8" t="s">
        <v>249</v>
      </c>
      <c r="C2470" s="37" t="s">
        <v>3566</v>
      </c>
      <c r="D2470" s="12"/>
      <c r="E2470" s="31" t="str">
        <f t="shared" ref="E2470:E2471" si="116">HYPERLINK("https://search.ancestryinstitution.com/search/db.aspx?dbid=3998","Ancestry.com")</f>
        <v>Ancestry.com</v>
      </c>
      <c r="F2470" s="12"/>
      <c r="G2470" s="12"/>
      <c r="H2470" s="8">
        <v>21</v>
      </c>
      <c r="I2470" s="7" t="s">
        <v>15</v>
      </c>
    </row>
    <row r="2471" spans="1:9" ht="31.2">
      <c r="A2471" s="8">
        <v>7891220</v>
      </c>
      <c r="B2471" s="8" t="s">
        <v>249</v>
      </c>
      <c r="C2471" s="37" t="s">
        <v>3567</v>
      </c>
      <c r="D2471" s="12"/>
      <c r="E2471" s="31" t="str">
        <f t="shared" si="116"/>
        <v>Ancestry.com</v>
      </c>
      <c r="F2471" s="12"/>
      <c r="G2471" s="12"/>
      <c r="H2471" s="8">
        <v>21</v>
      </c>
      <c r="I2471" s="7" t="s">
        <v>15</v>
      </c>
    </row>
    <row r="2472" spans="1:9" ht="46.8">
      <c r="A2472" s="29">
        <v>12021518</v>
      </c>
      <c r="B2472" s="8" t="s">
        <v>249</v>
      </c>
      <c r="C2472" s="16" t="s">
        <v>3568</v>
      </c>
      <c r="D2472" s="12"/>
      <c r="E2472" s="12"/>
      <c r="F2472" s="32" t="s">
        <v>43</v>
      </c>
      <c r="G2472" s="12"/>
      <c r="H2472" s="33">
        <v>21</v>
      </c>
      <c r="I2472" s="14" t="s">
        <v>15</v>
      </c>
    </row>
    <row r="2473" spans="1:9" ht="46.8">
      <c r="A2473" s="8">
        <v>12620535</v>
      </c>
      <c r="B2473" s="8" t="s">
        <v>249</v>
      </c>
      <c r="C2473" s="35" t="s">
        <v>3569</v>
      </c>
      <c r="D2473" s="12"/>
      <c r="E2473" s="12"/>
      <c r="F2473" s="12"/>
      <c r="G2473" s="78" t="s">
        <v>3451</v>
      </c>
      <c r="H2473" s="8">
        <v>351</v>
      </c>
      <c r="I2473" s="15" t="s">
        <v>11</v>
      </c>
    </row>
    <row r="2474" spans="1:9" ht="46.8">
      <c r="A2474" s="8">
        <v>16585062</v>
      </c>
      <c r="B2474" s="8" t="s">
        <v>249</v>
      </c>
      <c r="C2474" s="37" t="s">
        <v>3570</v>
      </c>
      <c r="D2474" s="12"/>
      <c r="E2474" s="12"/>
      <c r="F2474" s="12"/>
      <c r="G2474" s="78" t="s">
        <v>2505</v>
      </c>
      <c r="H2474" s="8">
        <v>21</v>
      </c>
      <c r="I2474" s="14" t="s">
        <v>15</v>
      </c>
    </row>
    <row r="2475" spans="1:9" ht="46.8">
      <c r="A2475" s="8">
        <v>17407964</v>
      </c>
      <c r="B2475" s="8" t="s">
        <v>249</v>
      </c>
      <c r="C2475" s="37" t="s">
        <v>3571</v>
      </c>
      <c r="D2475" s="12"/>
      <c r="E2475" s="12"/>
      <c r="F2475" s="31" t="str">
        <f t="shared" ref="F2475:F2478" si="117">HYPERLINK("https://www.familysearch.org/search/catalog/2622271","FamilySearch.org")</f>
        <v>FamilySearch.org</v>
      </c>
      <c r="G2475" s="12"/>
      <c r="H2475" s="8">
        <v>21</v>
      </c>
      <c r="I2475" s="7" t="s">
        <v>15</v>
      </c>
    </row>
    <row r="2476" spans="1:9" ht="46.8">
      <c r="A2476" s="8">
        <v>18222300</v>
      </c>
      <c r="B2476" s="8" t="s">
        <v>249</v>
      </c>
      <c r="C2476" s="37" t="s">
        <v>3572</v>
      </c>
      <c r="D2476" s="12"/>
      <c r="E2476" s="12"/>
      <c r="F2476" s="31" t="str">
        <f t="shared" si="117"/>
        <v>FamilySearch.org</v>
      </c>
      <c r="G2476" s="12"/>
      <c r="H2476" s="8">
        <v>21</v>
      </c>
      <c r="I2476" s="7" t="s">
        <v>15</v>
      </c>
    </row>
    <row r="2477" spans="1:9" ht="46.8">
      <c r="A2477" s="8">
        <v>18233305</v>
      </c>
      <c r="B2477" s="8" t="s">
        <v>249</v>
      </c>
      <c r="C2477" s="37" t="s">
        <v>3573</v>
      </c>
      <c r="D2477" s="12"/>
      <c r="E2477" s="12"/>
      <c r="F2477" s="31" t="str">
        <f t="shared" si="117"/>
        <v>FamilySearch.org</v>
      </c>
      <c r="G2477" s="12"/>
      <c r="H2477" s="8">
        <v>21</v>
      </c>
      <c r="I2477" s="7" t="s">
        <v>15</v>
      </c>
    </row>
    <row r="2478" spans="1:9" ht="46.8">
      <c r="A2478" s="8">
        <v>18462267</v>
      </c>
      <c r="B2478" s="8" t="s">
        <v>249</v>
      </c>
      <c r="C2478" s="37" t="s">
        <v>3574</v>
      </c>
      <c r="D2478" s="12"/>
      <c r="E2478" s="12"/>
      <c r="F2478" s="31" t="str">
        <f t="shared" si="117"/>
        <v>FamilySearch.org</v>
      </c>
      <c r="G2478" s="12"/>
      <c r="H2478" s="8">
        <v>21</v>
      </c>
      <c r="I2478" s="7" t="s">
        <v>15</v>
      </c>
    </row>
    <row r="2479" spans="1:9" ht="31.2">
      <c r="A2479" s="8">
        <v>22345862</v>
      </c>
      <c r="B2479" s="8" t="s">
        <v>249</v>
      </c>
      <c r="C2479" s="37" t="s">
        <v>3575</v>
      </c>
      <c r="D2479" s="12"/>
      <c r="E2479" s="12"/>
      <c r="F2479" s="84" t="str">
        <f>HYPERLINK("https://www.familysearch.org/wiki/en/Alaska,_Naturalization_Records_-_FamilySearch_Historical_Records","FamilySearch.org")</f>
        <v>FamilySearch.org</v>
      </c>
      <c r="G2479" s="12"/>
      <c r="H2479" s="8">
        <v>21</v>
      </c>
      <c r="I2479" s="7" t="s">
        <v>15</v>
      </c>
    </row>
    <row r="2480" spans="1:9" ht="31.2">
      <c r="A2480" s="8">
        <v>23829527</v>
      </c>
      <c r="B2480" s="8" t="s">
        <v>249</v>
      </c>
      <c r="C2480" s="37" t="s">
        <v>3576</v>
      </c>
      <c r="D2480" s="12"/>
      <c r="E2480" s="12"/>
      <c r="F2480" s="26" t="s">
        <v>43</v>
      </c>
      <c r="G2480" s="12"/>
      <c r="H2480" s="8">
        <v>21</v>
      </c>
      <c r="I2480" s="7" t="s">
        <v>15</v>
      </c>
    </row>
    <row r="2481" spans="1:9" ht="46.8">
      <c r="A2481" s="8">
        <v>23904630</v>
      </c>
      <c r="B2481" s="8" t="s">
        <v>249</v>
      </c>
      <c r="C2481" s="34" t="s">
        <v>3577</v>
      </c>
      <c r="D2481" s="12"/>
      <c r="E2481" s="12"/>
      <c r="F2481" s="31" t="str">
        <f t="shared" ref="F2481:F2486" si="118">HYPERLINK("https://www.familysearch.org/wiki/en/Alaska,_Naturalization_Records_-_FamilySearch_Historical_Records","FamilySearch.org")</f>
        <v>FamilySearch.org</v>
      </c>
      <c r="G2481" s="12"/>
      <c r="H2481" s="8">
        <v>21</v>
      </c>
      <c r="I2481" s="7" t="s">
        <v>11</v>
      </c>
    </row>
    <row r="2482" spans="1:9" ht="46.8">
      <c r="A2482" s="8">
        <v>24329955</v>
      </c>
      <c r="B2482" s="8" t="s">
        <v>249</v>
      </c>
      <c r="C2482" s="37" t="s">
        <v>3578</v>
      </c>
      <c r="D2482" s="12"/>
      <c r="E2482" s="12"/>
      <c r="F2482" s="31" t="str">
        <f t="shared" si="118"/>
        <v>FamilySearch.org</v>
      </c>
      <c r="G2482" s="12"/>
      <c r="H2482" s="8">
        <v>21</v>
      </c>
      <c r="I2482" s="7" t="s">
        <v>15</v>
      </c>
    </row>
    <row r="2483" spans="1:9" ht="46.8">
      <c r="A2483" s="8">
        <v>24329956</v>
      </c>
      <c r="B2483" s="8" t="s">
        <v>249</v>
      </c>
      <c r="C2483" s="37" t="s">
        <v>3579</v>
      </c>
      <c r="D2483" s="12"/>
      <c r="E2483" s="12"/>
      <c r="F2483" s="31" t="str">
        <f t="shared" si="118"/>
        <v>FamilySearch.org</v>
      </c>
      <c r="G2483" s="12"/>
      <c r="H2483" s="8">
        <v>21</v>
      </c>
      <c r="I2483" s="7" t="s">
        <v>15</v>
      </c>
    </row>
    <row r="2484" spans="1:9" ht="46.8">
      <c r="A2484" s="8">
        <v>24470202</v>
      </c>
      <c r="B2484" s="8" t="s">
        <v>249</v>
      </c>
      <c r="C2484" s="37" t="s">
        <v>3580</v>
      </c>
      <c r="D2484" s="12"/>
      <c r="E2484" s="12"/>
      <c r="F2484" s="31" t="str">
        <f t="shared" si="118"/>
        <v>FamilySearch.org</v>
      </c>
      <c r="G2484" s="12"/>
      <c r="H2484" s="8">
        <v>21</v>
      </c>
      <c r="I2484" s="7" t="s">
        <v>15</v>
      </c>
    </row>
    <row r="2485" spans="1:9" ht="46.8">
      <c r="A2485" s="8">
        <v>24519770</v>
      </c>
      <c r="B2485" s="8" t="s">
        <v>249</v>
      </c>
      <c r="C2485" s="37" t="s">
        <v>3581</v>
      </c>
      <c r="D2485" s="12"/>
      <c r="E2485" s="12"/>
      <c r="F2485" s="31" t="str">
        <f t="shared" si="118"/>
        <v>FamilySearch.org</v>
      </c>
      <c r="G2485" s="12"/>
      <c r="H2485" s="8">
        <v>21</v>
      </c>
      <c r="I2485" s="7" t="s">
        <v>15</v>
      </c>
    </row>
    <row r="2486" spans="1:9" ht="31.2">
      <c r="A2486" s="8">
        <v>24738376</v>
      </c>
      <c r="B2486" s="8" t="s">
        <v>249</v>
      </c>
      <c r="C2486" s="37" t="s">
        <v>3582</v>
      </c>
      <c r="D2486" s="12"/>
      <c r="E2486" s="12"/>
      <c r="F2486" s="31" t="str">
        <f t="shared" si="118"/>
        <v>FamilySearch.org</v>
      </c>
      <c r="G2486" s="12"/>
      <c r="H2486" s="8">
        <v>21</v>
      </c>
      <c r="I2486" s="7" t="s">
        <v>15</v>
      </c>
    </row>
    <row r="2487" spans="1:9" ht="31.2">
      <c r="A2487" s="8">
        <v>29904530</v>
      </c>
      <c r="B2487" s="8" t="s">
        <v>249</v>
      </c>
      <c r="C2487" s="54" t="str">
        <f>HYPERLINK("https://catalog.archives.gov/search?q=*:*&amp;f.ancestorNaIds=29904530&amp;sort=naIdSort%20asc","Oaths on Documentation (Alaska), 1/1/1936 - 12/31/1950")</f>
        <v>Oaths on Documentation (Alaska), 1/1/1936 - 12/31/1950</v>
      </c>
      <c r="D2487" s="12"/>
      <c r="E2487" s="12"/>
      <c r="F2487" s="31" t="str">
        <f>HYPERLINK("https://www.familysearch.org/search/catalog/2835357","FamilySearch.org")</f>
        <v>FamilySearch.org</v>
      </c>
      <c r="G2487" s="12"/>
      <c r="H2487" s="8">
        <v>36</v>
      </c>
      <c r="I2487" s="15" t="s">
        <v>11</v>
      </c>
    </row>
    <row r="2488" spans="1:9" ht="31.2">
      <c r="A2488" s="8">
        <v>29914964</v>
      </c>
      <c r="B2488" s="8" t="s">
        <v>249</v>
      </c>
      <c r="C2488" s="54" t="str">
        <f>HYPERLINK("https://catalog.archives.gov/search?q=*:*&amp;f.ancestorNaIds=29914964&amp;sort=naIdSort%20asc","Oaths of Masters for Vessels Under 20 Tons (Alaska), 1907 - 1945")</f>
        <v>Oaths of Masters for Vessels Under 20 Tons (Alaska), 1907 - 1945</v>
      </c>
      <c r="D2488" s="12"/>
      <c r="E2488" s="12"/>
      <c r="F2488" s="31" t="str">
        <f t="shared" ref="F2488:F2489" si="119">HYPERLINK("https://www.familysearch.org/search/catalog/2835362","FamilySearch.org")</f>
        <v>FamilySearch.org</v>
      </c>
      <c r="G2488" s="12"/>
      <c r="H2488" s="8">
        <v>36</v>
      </c>
      <c r="I2488" s="15" t="s">
        <v>11</v>
      </c>
    </row>
    <row r="2489" spans="1:9" ht="31.2">
      <c r="A2489" s="8">
        <v>29914966</v>
      </c>
      <c r="B2489" s="8" t="s">
        <v>249</v>
      </c>
      <c r="C2489" s="54" t="str">
        <f>HYPERLINK("https://catalog.archives.gov/search?q=*:*&amp;f.ancestorNaIds=29914966&amp;sort=naIdSort%20asc","Oaths of Masters of Enrolled Vessels, 1930 - 1934")</f>
        <v>Oaths of Masters of Enrolled Vessels, 1930 - 1934</v>
      </c>
      <c r="D2489" s="12"/>
      <c r="E2489" s="12"/>
      <c r="F2489" s="31" t="str">
        <f t="shared" si="119"/>
        <v>FamilySearch.org</v>
      </c>
      <c r="G2489" s="12"/>
      <c r="H2489" s="8">
        <v>36</v>
      </c>
      <c r="I2489" s="15" t="s">
        <v>11</v>
      </c>
    </row>
    <row r="2490" spans="1:9" ht="15.6">
      <c r="A2490" s="8">
        <v>29914967</v>
      </c>
      <c r="B2490" s="8" t="s">
        <v>249</v>
      </c>
      <c r="C2490" s="54" t="str">
        <f>HYPERLINK("https://catalog.archives.gov/search?q=*:*&amp;f.ancestorNaIds=29914967&amp;sort=naIdSort%20asc","Copies of Oaths, 1903 - 1910")</f>
        <v>Copies of Oaths, 1903 - 1910</v>
      </c>
      <c r="D2490" s="12"/>
      <c r="E2490" s="12"/>
      <c r="F2490" s="31" t="str">
        <f>HYPERLINK("https://www.familysearch.org/search/catalog/2835363","FamilySearch.org")</f>
        <v>FamilySearch.org</v>
      </c>
      <c r="G2490" s="12"/>
      <c r="H2490" s="8">
        <v>36</v>
      </c>
      <c r="I2490" s="15" t="s">
        <v>11</v>
      </c>
    </row>
    <row r="2491" spans="1:9" ht="15.6">
      <c r="A2491" s="8">
        <v>30010059</v>
      </c>
      <c r="B2491" s="8" t="s">
        <v>249</v>
      </c>
      <c r="C2491" s="54" t="str">
        <f>HYPERLINK("https://catalog.archives.gov/search?q=*:*&amp;f.ancestorNaIds=30010059&amp;sort=naIdSort%20asc","Oaths on Registry of Vessels, 1906 - 1939")</f>
        <v>Oaths on Registry of Vessels, 1906 - 1939</v>
      </c>
      <c r="D2491" s="12"/>
      <c r="E2491" s="12"/>
      <c r="F2491" s="31" t="str">
        <f>HYPERLINK("https://www.familysearch.org/search/catalog/2835358","FamilySearch.org")</f>
        <v>FamilySearch.org</v>
      </c>
      <c r="G2491" s="12"/>
      <c r="H2491" s="8">
        <v>36</v>
      </c>
      <c r="I2491" s="15" t="s">
        <v>18</v>
      </c>
    </row>
    <row r="2492" spans="1:9" ht="31.2">
      <c r="A2492" s="8">
        <v>31491335</v>
      </c>
      <c r="B2492" s="8" t="s">
        <v>249</v>
      </c>
      <c r="C2492" s="54" t="str">
        <f>HYPERLINK("https://catalog.archives.gov/search?q=*:*&amp;f.ancestorNaIds=31491335&amp;sort=naIdSort%20asc","Masters' Oaths on Registry and Licenses of Vessels Under 20 Tons, 1904 - 1936")</f>
        <v>Masters' Oaths on Registry and Licenses of Vessels Under 20 Tons, 1904 - 1936</v>
      </c>
      <c r="D2492" s="12"/>
      <c r="E2492" s="12"/>
      <c r="F2492" s="31" t="str">
        <f>HYPERLINK("https://www.familysearch.org/search/catalog/2835357","FamilySearch.org")</f>
        <v>FamilySearch.org</v>
      </c>
      <c r="G2492" s="12"/>
      <c r="H2492" s="8">
        <v>36</v>
      </c>
      <c r="I2492" s="15" t="s">
        <v>11</v>
      </c>
    </row>
    <row r="2493" spans="1:9" ht="31.2">
      <c r="A2493" s="8">
        <v>32028515</v>
      </c>
      <c r="B2493" s="8" t="s">
        <v>249</v>
      </c>
      <c r="C2493" s="54" t="str">
        <f>HYPERLINK("https://catalog.archives.gov/search?q=*:*&amp;f.ancestorNaIds=32028515&amp;sort=naIdSort%20asc","Oaths on Registry and Ownership of Vessels, 1/1/1919 - 12/31/1936")</f>
        <v>Oaths on Registry and Ownership of Vessels, 1/1/1919 - 12/31/1936</v>
      </c>
      <c r="D2493" s="12"/>
      <c r="E2493" s="12"/>
      <c r="F2493" s="31" t="str">
        <f>HYPERLINK("https://www.familysearch.org/search/catalog/2835358","FamilySearch.org")</f>
        <v>FamilySearch.org</v>
      </c>
      <c r="G2493" s="12"/>
      <c r="H2493" s="8">
        <v>36</v>
      </c>
      <c r="I2493" s="15" t="s">
        <v>11</v>
      </c>
    </row>
    <row r="2494" spans="1:9" ht="46.8">
      <c r="A2494" s="8">
        <v>55161363</v>
      </c>
      <c r="B2494" s="8" t="s">
        <v>249</v>
      </c>
      <c r="C2494" s="54" t="s">
        <v>3583</v>
      </c>
      <c r="D2494" s="12"/>
      <c r="E2494" s="12"/>
      <c r="F2494" s="31" t="str">
        <f t="shared" ref="F2494:F2496" si="120">HYPERLINK("https://www.familysearch.org/search/catalog/2179222","FamilySearch.org")</f>
        <v>FamilySearch.org</v>
      </c>
      <c r="G2494" s="12"/>
      <c r="H2494" s="8">
        <v>21</v>
      </c>
      <c r="I2494" s="15" t="s">
        <v>18</v>
      </c>
    </row>
    <row r="2495" spans="1:9" ht="46.8">
      <c r="A2495" s="8">
        <v>55275709</v>
      </c>
      <c r="B2495" s="8" t="s">
        <v>249</v>
      </c>
      <c r="C2495" s="35" t="s">
        <v>3584</v>
      </c>
      <c r="D2495" s="12"/>
      <c r="E2495" s="12"/>
      <c r="F2495" s="31" t="str">
        <f t="shared" si="120"/>
        <v>FamilySearch.org</v>
      </c>
      <c r="G2495" s="12"/>
      <c r="H2495" s="8">
        <v>21</v>
      </c>
      <c r="I2495" s="15" t="s">
        <v>11</v>
      </c>
    </row>
    <row r="2496" spans="1:9" ht="31.2">
      <c r="A2496" s="8">
        <v>55275795</v>
      </c>
      <c r="B2496" s="8" t="s">
        <v>249</v>
      </c>
      <c r="C2496" s="35" t="s">
        <v>3585</v>
      </c>
      <c r="D2496" s="12"/>
      <c r="E2496" s="12"/>
      <c r="F2496" s="31" t="str">
        <f t="shared" si="120"/>
        <v>FamilySearch.org</v>
      </c>
      <c r="G2496" s="12"/>
      <c r="H2496" s="8">
        <v>21</v>
      </c>
      <c r="I2496" s="15" t="s">
        <v>11</v>
      </c>
    </row>
    <row r="2497" spans="1:9" ht="31.2">
      <c r="A2497" s="8">
        <v>61656604</v>
      </c>
      <c r="B2497" s="8" t="s">
        <v>249</v>
      </c>
      <c r="C2497" s="54" t="str">
        <f>HYPERLINK("https://catalog.archives.gov/search?q=*:*&amp;f.ancestorNaIds=61656604&amp;sort=naIdSort%20asc","Repatriation Order Books, Wisconsin (Eastern District, Milwaukee Term), 1940-1961")</f>
        <v>Repatriation Order Books, Wisconsin (Eastern District, Milwaukee Term), 1940-1961</v>
      </c>
      <c r="D2497" s="12"/>
      <c r="E2497" s="12"/>
      <c r="F2497" s="31" t="s">
        <v>43</v>
      </c>
      <c r="G2497" s="12"/>
      <c r="H2497" s="8">
        <v>21</v>
      </c>
      <c r="I2497" s="15" t="s">
        <v>18</v>
      </c>
    </row>
    <row r="2498" spans="1:9" ht="31.2">
      <c r="A2498" s="8">
        <v>62186111</v>
      </c>
      <c r="B2498" s="8" t="s">
        <v>249</v>
      </c>
      <c r="C2498" s="54" t="str">
        <f>HYPERLINK("https://catalog.archives.gov/search?q=*:*&amp;f.ancestorNaIds=62186111&amp;sort=naIdSort%20asc","Naturalization Records Index, Wisconsin (Eastern District, Milwaukee Term), 1894-1906")</f>
        <v>Naturalization Records Index, Wisconsin (Eastern District, Milwaukee Term), 1894-1906</v>
      </c>
      <c r="D2498" s="12"/>
      <c r="E2498" s="12"/>
      <c r="F2498" s="31" t="str">
        <f t="shared" ref="F2498:F2499" si="121">HYPERLINK("https://www.familysearch.org/search/catalog/2138589","FamilySearch.org")</f>
        <v>FamilySearch.org</v>
      </c>
      <c r="G2498" s="12"/>
      <c r="H2498" s="8">
        <v>21</v>
      </c>
      <c r="I2498" s="15" t="s">
        <v>11</v>
      </c>
    </row>
    <row r="2499" spans="1:9" ht="31.2">
      <c r="A2499" s="8">
        <v>62291974</v>
      </c>
      <c r="B2499" s="8" t="s">
        <v>249</v>
      </c>
      <c r="C2499" s="54" t="str">
        <f>HYPERLINK("https://catalog.archives.gov/search?q=*:*&amp;f.ancestorNaIds=62291974&amp;sort=naIdSort%20asc","Index Declaration of Intention, Wisconsin (Eastern District, Milwaukee Term), 1856-1906")</f>
        <v>Index Declaration of Intention, Wisconsin (Eastern District, Milwaukee Term), 1856-1906</v>
      </c>
      <c r="D2499" s="12"/>
      <c r="E2499" s="12"/>
      <c r="F2499" s="31" t="str">
        <f t="shared" si="121"/>
        <v>FamilySearch.org</v>
      </c>
      <c r="G2499" s="12"/>
      <c r="H2499" s="8">
        <v>21</v>
      </c>
      <c r="I2499" s="15" t="s">
        <v>11</v>
      </c>
    </row>
    <row r="2500" spans="1:9" ht="31.2">
      <c r="A2500" s="8">
        <v>66799047</v>
      </c>
      <c r="B2500" s="8" t="s">
        <v>249</v>
      </c>
      <c r="C2500" s="35" t="s">
        <v>3586</v>
      </c>
      <c r="D2500" s="12"/>
      <c r="E2500" s="12"/>
      <c r="F2500" s="31" t="str">
        <f>HYPERLINK("https://www.familysearch.org/search/catalog/2179222","FamilySearch.org")</f>
        <v>FamilySearch.org</v>
      </c>
      <c r="G2500" s="12"/>
      <c r="H2500" s="8">
        <v>21</v>
      </c>
      <c r="I2500" s="15" t="s">
        <v>11</v>
      </c>
    </row>
    <row r="2501" spans="1:9" ht="31.2">
      <c r="A2501" s="29">
        <v>68143444</v>
      </c>
      <c r="B2501" s="8" t="s">
        <v>249</v>
      </c>
      <c r="C2501" s="35" t="s">
        <v>3587</v>
      </c>
      <c r="D2501" s="12"/>
      <c r="E2501" s="26" t="s">
        <v>14</v>
      </c>
      <c r="F2501" s="12"/>
      <c r="G2501" s="12"/>
      <c r="H2501" s="33">
        <v>85</v>
      </c>
      <c r="I2501" s="23" t="s">
        <v>11</v>
      </c>
    </row>
    <row r="2502" spans="1:9" ht="31.2">
      <c r="A2502" s="8">
        <v>70187177</v>
      </c>
      <c r="B2502" s="8" t="s">
        <v>249</v>
      </c>
      <c r="C2502" s="37" t="s">
        <v>3588</v>
      </c>
      <c r="D2502" s="12"/>
      <c r="E2502" s="12"/>
      <c r="F2502" s="31" t="str">
        <f>HYPERLINK("https://www.familysearch.org/search/catalog/507612","FamilySearch.org")</f>
        <v>FamilySearch.org</v>
      </c>
      <c r="G2502" s="12"/>
      <c r="H2502" s="8">
        <v>21</v>
      </c>
      <c r="I2502" s="7" t="s">
        <v>15</v>
      </c>
    </row>
    <row r="2503" spans="1:9" ht="46.8">
      <c r="A2503" s="8">
        <v>71962684</v>
      </c>
      <c r="B2503" s="8" t="s">
        <v>249</v>
      </c>
      <c r="C2503" s="37" t="s">
        <v>3589</v>
      </c>
      <c r="D2503" s="12"/>
      <c r="E2503" s="12"/>
      <c r="F2503" s="31" t="str">
        <f>HYPERLINK("https://www.familysearch.org/search/catalog/2622271","FamilySearch.org")</f>
        <v>FamilySearch.org</v>
      </c>
      <c r="G2503" s="12"/>
      <c r="H2503" s="8">
        <v>21</v>
      </c>
      <c r="I2503" s="7" t="s">
        <v>15</v>
      </c>
    </row>
    <row r="2504" spans="1:9" ht="31.2">
      <c r="A2504" s="8">
        <v>74895917</v>
      </c>
      <c r="B2504" s="8" t="s">
        <v>249</v>
      </c>
      <c r="C2504" s="35" t="s">
        <v>3590</v>
      </c>
      <c r="D2504" s="12"/>
      <c r="E2504" s="12"/>
      <c r="F2504" s="31" t="s">
        <v>43</v>
      </c>
      <c r="G2504" s="12"/>
      <c r="H2504" s="8">
        <v>21</v>
      </c>
      <c r="I2504" s="15" t="s">
        <v>11</v>
      </c>
    </row>
    <row r="2505" spans="1:9" ht="46.8">
      <c r="A2505" s="8">
        <v>75573424</v>
      </c>
      <c r="B2505" s="8" t="s">
        <v>249</v>
      </c>
      <c r="C2505" s="37" t="s">
        <v>3591</v>
      </c>
      <c r="D2505" s="12"/>
      <c r="E2505" s="12"/>
      <c r="F2505" s="31" t="str">
        <f>HYPERLINK("https://www.familysearch.org/search/catalog/2820777","FamilySearch.org")</f>
        <v>FamilySearch.org</v>
      </c>
      <c r="G2505" s="12"/>
      <c r="H2505" s="8">
        <v>21</v>
      </c>
      <c r="I2505" s="7" t="s">
        <v>15</v>
      </c>
    </row>
    <row r="2506" spans="1:9" ht="31.2">
      <c r="A2506" s="8">
        <v>75667208</v>
      </c>
      <c r="B2506" s="8" t="s">
        <v>249</v>
      </c>
      <c r="C2506" s="54" t="str">
        <f>HYPERLINK("https://catalog.archives.gov/search?q=*:*&amp;f.ancestorNaIds=75667208&amp;sort=naIdSort%20asc","Index to Declarations of Intention, Wisconsin (Western District, Madison Term), 1848 - 1899")</f>
        <v>Index to Declarations of Intention, Wisconsin (Western District, Madison Term), 1848 - 1899</v>
      </c>
      <c r="D2506" s="12"/>
      <c r="E2506" s="12"/>
      <c r="F2506" s="31" t="str">
        <f>HYPERLINK("https://www.familysearch.org/search/catalog/3259501","FamilySearch.org")</f>
        <v>FamilySearch.org</v>
      </c>
      <c r="G2506" s="12"/>
      <c r="H2506" s="8">
        <v>21</v>
      </c>
      <c r="I2506" s="15" t="s">
        <v>11</v>
      </c>
    </row>
    <row r="2507" spans="1:9" ht="31.2">
      <c r="A2507" s="8">
        <v>75718064</v>
      </c>
      <c r="B2507" s="8" t="s">
        <v>249</v>
      </c>
      <c r="C2507" s="54" t="s">
        <v>3592</v>
      </c>
      <c r="D2507" s="12"/>
      <c r="E2507" s="12"/>
      <c r="F2507" s="31" t="str">
        <f t="shared" ref="F2507:F2509" si="122">HYPERLINK("https://www.familysearch.org/search/catalog/2179220","FamilySearch.org")</f>
        <v>FamilySearch.org</v>
      </c>
      <c r="G2507" s="12"/>
      <c r="H2507" s="8">
        <v>21</v>
      </c>
      <c r="I2507" s="15" t="s">
        <v>11</v>
      </c>
    </row>
    <row r="2508" spans="1:9" ht="31.2">
      <c r="A2508" s="8">
        <v>75718065</v>
      </c>
      <c r="B2508" s="8" t="s">
        <v>249</v>
      </c>
      <c r="C2508" s="35" t="s">
        <v>3593</v>
      </c>
      <c r="D2508" s="12"/>
      <c r="E2508" s="12"/>
      <c r="F2508" s="31" t="str">
        <f t="shared" si="122"/>
        <v>FamilySearch.org</v>
      </c>
      <c r="G2508" s="12"/>
      <c r="H2508" s="8">
        <v>21</v>
      </c>
      <c r="I2508" s="15" t="s">
        <v>11</v>
      </c>
    </row>
    <row r="2509" spans="1:9" ht="31.2">
      <c r="A2509" s="8">
        <v>75718118</v>
      </c>
      <c r="B2509" s="8" t="s">
        <v>249</v>
      </c>
      <c r="C2509" s="54" t="s">
        <v>3594</v>
      </c>
      <c r="D2509" s="12"/>
      <c r="E2509" s="12"/>
      <c r="F2509" s="31" t="str">
        <f t="shared" si="122"/>
        <v>FamilySearch.org</v>
      </c>
      <c r="G2509" s="12"/>
      <c r="H2509" s="8">
        <v>21</v>
      </c>
      <c r="I2509" s="15" t="s">
        <v>11</v>
      </c>
    </row>
    <row r="2510" spans="1:9" ht="31.2">
      <c r="A2510" s="8">
        <v>76034890</v>
      </c>
      <c r="B2510" s="8" t="s">
        <v>249</v>
      </c>
      <c r="C2510" s="54" t="str">
        <f>HYPERLINK("https://catalog.archives.gov/search?q=*:*&amp;f.ancestorNaIds=76034890&amp;sort=naIdSort%20asc","Income Tax Assessment Lists, Massachusetts (Collection District 3, Boston), 1914-1917")</f>
        <v>Income Tax Assessment Lists, Massachusetts (Collection District 3, Boston), 1914-1917</v>
      </c>
      <c r="D2510" s="12"/>
      <c r="E2510" s="12"/>
      <c r="F2510" s="26" t="s">
        <v>43</v>
      </c>
      <c r="G2510" s="12"/>
      <c r="H2510" s="8">
        <v>58</v>
      </c>
      <c r="I2510" s="15" t="s">
        <v>11</v>
      </c>
    </row>
    <row r="2511" spans="1:9" ht="46.8">
      <c r="A2511" s="8">
        <v>76034898</v>
      </c>
      <c r="B2511" s="8" t="s">
        <v>249</v>
      </c>
      <c r="C2511" s="54" t="str">
        <f>HYPERLINK("https://catalog.archives.gov/search?q=*:*&amp;f.ancestorNaIds=76034898&amp;sort=naIdSort%20asc","Collector's Records of Legacies and Distributive Shares, Massachusetts (Collection District 3, Boston), 1899-1903")</f>
        <v>Collector's Records of Legacies and Distributive Shares, Massachusetts (Collection District 3, Boston), 1899-1903</v>
      </c>
      <c r="D2511" s="12"/>
      <c r="E2511" s="12"/>
      <c r="F2511" s="26" t="s">
        <v>43</v>
      </c>
      <c r="G2511" s="12"/>
      <c r="H2511" s="8">
        <v>58</v>
      </c>
      <c r="I2511" s="15" t="s">
        <v>11</v>
      </c>
    </row>
    <row r="2512" spans="1:9" ht="46.8">
      <c r="A2512" s="8">
        <v>76034909</v>
      </c>
      <c r="B2512" s="8" t="s">
        <v>249</v>
      </c>
      <c r="C2512" s="54" t="str">
        <f>HYPERLINK("https://catalog.archives.gov/search?q=*:*&amp;f.ancestorNaIds=76034909&amp;sort=naIdSort%20asc","Records of Claims for Abatement and Refunding of Taxes, Massachusetts (Collection District 3, Boston), 1897-1918")</f>
        <v>Records of Claims for Abatement and Refunding of Taxes, Massachusetts (Collection District 3, Boston), 1897-1918</v>
      </c>
      <c r="D2512" s="12"/>
      <c r="E2512" s="12"/>
      <c r="F2512" s="26" t="s">
        <v>43</v>
      </c>
      <c r="G2512" s="12"/>
      <c r="H2512" s="8">
        <v>58</v>
      </c>
      <c r="I2512" s="15" t="s">
        <v>11</v>
      </c>
    </row>
    <row r="2513" spans="1:9" ht="46.8">
      <c r="A2513" s="8">
        <v>76043560</v>
      </c>
      <c r="B2513" s="8" t="s">
        <v>249</v>
      </c>
      <c r="C2513" s="54" t="str">
        <f>HYPERLINK("https://catalog.archives.gov/search?q=*:*&amp;f.ancestorNaIds=76043560&amp;sort=naIdSort%20asc","Corporation Special Excise Tax Assessment Lists, Massachusetts (Collection District 3, Boston), 1911-1917")</f>
        <v>Corporation Special Excise Tax Assessment Lists, Massachusetts (Collection District 3, Boston), 1911-1917</v>
      </c>
      <c r="D2513" s="12"/>
      <c r="E2513" s="12"/>
      <c r="F2513" s="26" t="s">
        <v>43</v>
      </c>
      <c r="G2513" s="12"/>
      <c r="H2513" s="8">
        <v>58</v>
      </c>
      <c r="I2513" s="15" t="s">
        <v>11</v>
      </c>
    </row>
    <row r="2514" spans="1:9" ht="31.2">
      <c r="A2514" s="8">
        <v>76193916</v>
      </c>
      <c r="B2514" s="8" t="s">
        <v>249</v>
      </c>
      <c r="C2514" s="54" t="s">
        <v>3595</v>
      </c>
      <c r="D2514" s="12"/>
      <c r="E2514" s="12"/>
      <c r="F2514" s="31" t="str">
        <f>HYPERLINK("https://www.familysearch.org/search/collection/2968245","FamilySearch.org")</f>
        <v>FamilySearch.org</v>
      </c>
      <c r="G2514" s="15"/>
      <c r="H2514" s="8">
        <v>15</v>
      </c>
      <c r="I2514" s="15" t="s">
        <v>18</v>
      </c>
    </row>
    <row r="2515" spans="1:9" ht="31.2">
      <c r="A2515" s="29">
        <v>78122503</v>
      </c>
      <c r="B2515" s="8" t="s">
        <v>249</v>
      </c>
      <c r="C2515" s="16" t="s">
        <v>3596</v>
      </c>
      <c r="D2515" s="12"/>
      <c r="E2515" s="26" t="s">
        <v>14</v>
      </c>
      <c r="F2515" s="32" t="str">
        <f>HYPERLINK("https://www.familysearch.org/search/collection/1880573","FamilySearch.org")</f>
        <v>FamilySearch.org</v>
      </c>
      <c r="G2515" s="12"/>
      <c r="H2515" s="33">
        <v>147</v>
      </c>
      <c r="I2515" s="14" t="s">
        <v>15</v>
      </c>
    </row>
    <row r="2516" spans="1:9" ht="31.2">
      <c r="A2516" s="29">
        <v>78122507</v>
      </c>
      <c r="B2516" s="8" t="s">
        <v>249</v>
      </c>
      <c r="C2516" s="34" t="s">
        <v>3597</v>
      </c>
      <c r="D2516" s="32" t="s">
        <v>220</v>
      </c>
      <c r="E2516" s="12"/>
      <c r="F2516" s="12"/>
      <c r="G2516" s="12"/>
      <c r="H2516" s="33">
        <v>147</v>
      </c>
      <c r="I2516" s="14" t="s">
        <v>11</v>
      </c>
    </row>
    <row r="2517" spans="1:9" ht="31.2">
      <c r="A2517" s="29">
        <v>78122510</v>
      </c>
      <c r="B2517" s="8" t="s">
        <v>249</v>
      </c>
      <c r="C2517" s="16" t="s">
        <v>3598</v>
      </c>
      <c r="D2517" s="32" t="str">
        <f>HYPERLINK("https://www.fold3.com/title/765/wwii-old-mans-draft-registration-cards","Fold3.com")</f>
        <v>Fold3.com</v>
      </c>
      <c r="E2517" s="26" t="s">
        <v>14</v>
      </c>
      <c r="F2517" s="12"/>
      <c r="G2517" s="12"/>
      <c r="H2517" s="33">
        <v>147</v>
      </c>
      <c r="I2517" s="14" t="s">
        <v>15</v>
      </c>
    </row>
    <row r="2518" spans="1:9" ht="46.8">
      <c r="A2518" s="8">
        <v>81448495</v>
      </c>
      <c r="B2518" s="8" t="s">
        <v>249</v>
      </c>
      <c r="C2518" s="54" t="s">
        <v>3599</v>
      </c>
      <c r="D2518" s="12"/>
      <c r="E2518" s="12"/>
      <c r="F2518" s="31" t="s">
        <v>43</v>
      </c>
      <c r="G2518" s="12"/>
      <c r="H2518" s="8">
        <v>21</v>
      </c>
      <c r="I2518" s="15" t="s">
        <v>11</v>
      </c>
    </row>
    <row r="2519" spans="1:9" ht="46.8">
      <c r="A2519" s="8">
        <v>81448584</v>
      </c>
      <c r="B2519" s="8" t="s">
        <v>249</v>
      </c>
      <c r="C2519" s="54" t="s">
        <v>3600</v>
      </c>
      <c r="D2519" s="12"/>
      <c r="E2519" s="12"/>
      <c r="F2519" s="31" t="s">
        <v>43</v>
      </c>
      <c r="G2519" s="12"/>
      <c r="H2519" s="8">
        <v>21</v>
      </c>
      <c r="I2519" s="15" t="s">
        <v>11</v>
      </c>
    </row>
    <row r="2520" spans="1:9" ht="46.8">
      <c r="A2520" s="8">
        <v>81448631</v>
      </c>
      <c r="B2520" s="8" t="s">
        <v>249</v>
      </c>
      <c r="C2520" s="54" t="s">
        <v>3601</v>
      </c>
      <c r="D2520" s="12"/>
      <c r="E2520" s="12"/>
      <c r="F2520" s="31" t="s">
        <v>43</v>
      </c>
      <c r="G2520" s="12"/>
      <c r="H2520" s="8">
        <v>21</v>
      </c>
      <c r="I2520" s="15" t="s">
        <v>11</v>
      </c>
    </row>
    <row r="2521" spans="1:9" ht="46.8">
      <c r="A2521" s="8">
        <v>81449653</v>
      </c>
      <c r="B2521" s="8" t="s">
        <v>249</v>
      </c>
      <c r="C2521" s="54" t="s">
        <v>3602</v>
      </c>
      <c r="D2521" s="12"/>
      <c r="E2521" s="12"/>
      <c r="F2521" s="31" t="s">
        <v>43</v>
      </c>
      <c r="G2521" s="12"/>
      <c r="H2521" s="8">
        <v>21</v>
      </c>
      <c r="I2521" s="15" t="s">
        <v>11</v>
      </c>
    </row>
    <row r="2522" spans="1:9" ht="46.8">
      <c r="A2522" s="8">
        <v>81449708</v>
      </c>
      <c r="B2522" s="8" t="s">
        <v>249</v>
      </c>
      <c r="C2522" s="54" t="s">
        <v>3603</v>
      </c>
      <c r="D2522" s="12"/>
      <c r="E2522" s="12"/>
      <c r="F2522" s="31" t="s">
        <v>43</v>
      </c>
      <c r="G2522" s="12"/>
      <c r="H2522" s="8">
        <v>21</v>
      </c>
      <c r="I2522" s="15" t="s">
        <v>11</v>
      </c>
    </row>
    <row r="2523" spans="1:9" ht="46.8">
      <c r="A2523" s="8">
        <v>81557017</v>
      </c>
      <c r="B2523" s="8" t="s">
        <v>249</v>
      </c>
      <c r="C2523" s="35" t="s">
        <v>3604</v>
      </c>
      <c r="D2523" s="12"/>
      <c r="E2523" s="12"/>
      <c r="F2523" s="31" t="s">
        <v>43</v>
      </c>
      <c r="G2523" s="12"/>
      <c r="H2523" s="8">
        <v>21</v>
      </c>
      <c r="I2523" s="15" t="s">
        <v>11</v>
      </c>
    </row>
    <row r="2524" spans="1:9" ht="46.8">
      <c r="A2524" s="8">
        <v>81557108</v>
      </c>
      <c r="B2524" s="8" t="s">
        <v>249</v>
      </c>
      <c r="C2524" s="35" t="s">
        <v>3605</v>
      </c>
      <c r="D2524" s="12"/>
      <c r="E2524" s="12"/>
      <c r="F2524" s="31" t="s">
        <v>43</v>
      </c>
      <c r="G2524" s="12"/>
      <c r="H2524" s="8">
        <v>21</v>
      </c>
      <c r="I2524" s="15" t="s">
        <v>18</v>
      </c>
    </row>
    <row r="2525" spans="1:9" ht="46.8">
      <c r="A2525" s="8">
        <v>82510610</v>
      </c>
      <c r="B2525" s="8" t="s">
        <v>249</v>
      </c>
      <c r="C2525" s="35" t="s">
        <v>3606</v>
      </c>
      <c r="D2525" s="12"/>
      <c r="E2525" s="12"/>
      <c r="F2525" s="31" t="s">
        <v>43</v>
      </c>
      <c r="G2525" s="12"/>
      <c r="H2525" s="8">
        <v>21</v>
      </c>
      <c r="I2525" s="15" t="s">
        <v>11</v>
      </c>
    </row>
    <row r="2526" spans="1:9" ht="62.4">
      <c r="A2526" s="8">
        <v>82783438</v>
      </c>
      <c r="B2526" s="8" t="s">
        <v>249</v>
      </c>
      <c r="C2526" s="35" t="s">
        <v>3607</v>
      </c>
      <c r="D2526" s="12"/>
      <c r="E2526" s="12"/>
      <c r="F2526" s="31" t="s">
        <v>43</v>
      </c>
      <c r="G2526" s="12"/>
      <c r="H2526" s="8">
        <v>21</v>
      </c>
      <c r="I2526" s="15" t="s">
        <v>11</v>
      </c>
    </row>
    <row r="2527" spans="1:9" ht="46.8">
      <c r="A2527" s="8">
        <v>82783439</v>
      </c>
      <c r="B2527" s="8" t="s">
        <v>249</v>
      </c>
      <c r="C2527" s="35" t="s">
        <v>3608</v>
      </c>
      <c r="D2527" s="12"/>
      <c r="E2527" s="12"/>
      <c r="F2527" s="31" t="s">
        <v>43</v>
      </c>
      <c r="G2527" s="12"/>
      <c r="H2527" s="8">
        <v>21</v>
      </c>
      <c r="I2527" s="15" t="s">
        <v>11</v>
      </c>
    </row>
    <row r="2528" spans="1:9" ht="46.8">
      <c r="A2528" s="8">
        <v>83009111</v>
      </c>
      <c r="B2528" s="8" t="s">
        <v>249</v>
      </c>
      <c r="C2528" s="35" t="s">
        <v>3609</v>
      </c>
      <c r="D2528" s="12"/>
      <c r="E2528" s="12"/>
      <c r="F2528" s="26" t="s">
        <v>43</v>
      </c>
      <c r="G2528" s="12"/>
      <c r="H2528" s="8">
        <v>21</v>
      </c>
      <c r="I2528" s="15" t="s">
        <v>11</v>
      </c>
    </row>
    <row r="2529" spans="1:9" ht="46.8">
      <c r="A2529" s="8">
        <v>83086744</v>
      </c>
      <c r="B2529" s="8" t="s">
        <v>249</v>
      </c>
      <c r="C2529" s="35" t="s">
        <v>3610</v>
      </c>
      <c r="D2529" s="12"/>
      <c r="E2529" s="12"/>
      <c r="F2529" s="31" t="s">
        <v>43</v>
      </c>
      <c r="G2529" s="12"/>
      <c r="H2529" s="8">
        <v>21</v>
      </c>
      <c r="I2529" s="15" t="s">
        <v>11</v>
      </c>
    </row>
    <row r="2530" spans="1:9" ht="46.8">
      <c r="A2530" s="8">
        <v>83146125</v>
      </c>
      <c r="B2530" s="8" t="s">
        <v>249</v>
      </c>
      <c r="C2530" s="35" t="s">
        <v>3611</v>
      </c>
      <c r="D2530" s="12"/>
      <c r="E2530" s="12"/>
      <c r="F2530" s="31" t="s">
        <v>43</v>
      </c>
      <c r="G2530" s="12"/>
      <c r="H2530" s="8">
        <v>21</v>
      </c>
      <c r="I2530" s="15" t="s">
        <v>18</v>
      </c>
    </row>
    <row r="2531" spans="1:9" ht="15.6">
      <c r="A2531" s="8">
        <v>85713803</v>
      </c>
      <c r="B2531" s="8" t="s">
        <v>249</v>
      </c>
      <c r="C2531" s="54" t="str">
        <f>HYPERLINK("https://catalog.archives.gov/search?q=*:*&amp;f.ancestorNaIds=85713803&amp;sort=naIdSort%20asc","Muster Rolls and Rosters, 1912 - 1943")</f>
        <v>Muster Rolls and Rosters, 1912 - 1943</v>
      </c>
      <c r="D2531" s="12"/>
      <c r="E2531" s="12"/>
      <c r="F2531" s="31" t="str">
        <f>HYPERLINK("https://www.familysearch.org/search/catalog/3378445","FamilySearch.org")</f>
        <v>FamilySearch.org</v>
      </c>
      <c r="G2531" s="12"/>
      <c r="H2531" s="8">
        <v>64</v>
      </c>
      <c r="I2531" s="15" t="s">
        <v>18</v>
      </c>
    </row>
    <row r="2532" spans="1:9" ht="46.8">
      <c r="A2532" s="8">
        <v>93016261</v>
      </c>
      <c r="B2532" s="8" t="s">
        <v>249</v>
      </c>
      <c r="C2532" s="54" t="str">
        <f>HYPERLINK("https://catalog.archives.gov/search?q=*:*&amp;f.ancestorNaIds=93016261&amp;sort=naIdSort%20asc","Naturalization Depositions, Illinois (Eastern (Chicago) Division of the Northern District), 1909-1977")</f>
        <v>Naturalization Depositions, Illinois (Eastern (Chicago) Division of the Northern District), 1909-1977</v>
      </c>
      <c r="D2532" s="12"/>
      <c r="E2532" s="12"/>
      <c r="F2532" s="31" t="str">
        <f>HYPERLINK("https://www.familysearch.org/search/catalog/3274338","FamilySearch.org")</f>
        <v>FamilySearch.org</v>
      </c>
      <c r="G2532" s="12"/>
      <c r="H2532" s="8">
        <v>21</v>
      </c>
      <c r="I2532" s="15" t="s">
        <v>18</v>
      </c>
    </row>
    <row r="2533" spans="1:9" ht="46.8">
      <c r="A2533" s="8">
        <v>99293814</v>
      </c>
      <c r="B2533" s="8" t="s">
        <v>249</v>
      </c>
      <c r="C2533" s="54" t="str">
        <f>HYPERLINK("https://catalog.archives.gov/search?q=*:*&amp;f.ancestorNaIds=99293814&amp;sort=naIdSort%20asc","Tallulah Morgan et al. vs James W. Hennigan et al. Case File, 1972 - 1995")</f>
        <v>Tallulah Morgan et al. vs James W. Hennigan et al. Case File, 1972 - 1995</v>
      </c>
      <c r="D2533" s="12"/>
      <c r="E2533" s="12"/>
      <c r="F2533" s="12"/>
      <c r="G2533" s="60" t="str">
        <f>HYPERLINK("https://www.digitalcommonwealth.org/","Digital Commonwealth.org")</f>
        <v>Digital Commonwealth.org</v>
      </c>
      <c r="H2533" s="8">
        <v>21</v>
      </c>
      <c r="I2533" s="7" t="s">
        <v>11</v>
      </c>
    </row>
    <row r="2534" spans="1:9" ht="31.2">
      <c r="A2534" s="8">
        <v>99904521</v>
      </c>
      <c r="B2534" s="8" t="s">
        <v>249</v>
      </c>
      <c r="C2534" s="54" t="str">
        <f>HYPERLINK("https://catalog.archives.gov/search?q=*:*&amp;f.ancestorNaIds=99904521&amp;sort=naIdSort%20asc","Naturalization Dockets, Wisconsin (Western District, Madison Term), 1873-1906")</f>
        <v>Naturalization Dockets, Wisconsin (Western District, Madison Term), 1873-1906</v>
      </c>
      <c r="D2534" s="12"/>
      <c r="E2534" s="12"/>
      <c r="F2534" s="31" t="str">
        <f>HYPERLINK("https://www.familysearch.org/search/catalog/3259501","FamilySearch.org")</f>
        <v>FamilySearch.org</v>
      </c>
      <c r="G2534" s="12"/>
      <c r="H2534" s="8">
        <v>21</v>
      </c>
      <c r="I2534" s="15" t="s">
        <v>11</v>
      </c>
    </row>
    <row r="2535" spans="1:9" ht="31.2">
      <c r="A2535" s="29">
        <v>103406618</v>
      </c>
      <c r="B2535" s="8" t="s">
        <v>249</v>
      </c>
      <c r="C2535" s="35" t="s">
        <v>3612</v>
      </c>
      <c r="D2535" s="12"/>
      <c r="E2535" s="26" t="s">
        <v>14</v>
      </c>
      <c r="F2535" s="12"/>
      <c r="G2535" s="12"/>
      <c r="H2535" s="33">
        <v>59</v>
      </c>
      <c r="I2535" s="23" t="s">
        <v>11</v>
      </c>
    </row>
    <row r="2536" spans="1:9" ht="31.2">
      <c r="A2536" s="8">
        <v>118764600</v>
      </c>
      <c r="B2536" s="8" t="s">
        <v>249</v>
      </c>
      <c r="C2536" s="54" t="s">
        <v>3613</v>
      </c>
      <c r="D2536" s="12"/>
      <c r="E2536" s="12"/>
      <c r="F2536" s="26" t="s">
        <v>43</v>
      </c>
      <c r="G2536" s="12"/>
      <c r="H2536" s="8">
        <v>21</v>
      </c>
      <c r="I2536" s="15" t="s">
        <v>11</v>
      </c>
    </row>
    <row r="2537" spans="1:9" ht="31.2">
      <c r="A2537" s="8">
        <v>122247483</v>
      </c>
      <c r="B2537" s="8" t="s">
        <v>249</v>
      </c>
      <c r="C2537" s="54" t="str">
        <f>HYPERLINK("https://catalog.archives.gov/search?q=*:*&amp;f.ancestorNaIds=122247483&amp;sort=naIdSort%20asc","Declarations of Intention, Wisconsin (La Crosse), 1870-1900")</f>
        <v>Declarations of Intention, Wisconsin (La Crosse), 1870-1900</v>
      </c>
      <c r="D2537" s="12"/>
      <c r="E2537" s="12"/>
      <c r="F2537" s="31" t="str">
        <f t="shared" ref="F2537:F2538" si="123">HYPERLINK("https://www.familysearch.org/search/catalog/3259501","FamilySearch.org")</f>
        <v>FamilySearch.org</v>
      </c>
      <c r="G2537" s="12"/>
      <c r="H2537" s="8">
        <v>21</v>
      </c>
      <c r="I2537" s="15" t="s">
        <v>11</v>
      </c>
    </row>
    <row r="2538" spans="1:9" ht="31.2">
      <c r="A2538" s="8">
        <v>122247606</v>
      </c>
      <c r="B2538" s="8" t="s">
        <v>249</v>
      </c>
      <c r="C2538" s="54" t="str">
        <f>HYPERLINK("https://catalog.archives.gov/search?q=*:*&amp;f.ancestorNaIds=122247606&amp;sort=naIdSort%20asc","Naturalization Dockets, Wisconsin (La Crosse), 1871-1900")</f>
        <v>Naturalization Dockets, Wisconsin (La Crosse), 1871-1900</v>
      </c>
      <c r="D2538" s="12"/>
      <c r="E2538" s="12"/>
      <c r="F2538" s="31" t="str">
        <f t="shared" si="123"/>
        <v>FamilySearch.org</v>
      </c>
      <c r="G2538" s="12"/>
      <c r="H2538" s="8">
        <v>21</v>
      </c>
      <c r="I2538" s="15" t="s">
        <v>11</v>
      </c>
    </row>
    <row r="2539" spans="1:9" ht="31.2">
      <c r="A2539" s="99" t="s">
        <v>3614</v>
      </c>
      <c r="B2539" s="8" t="s">
        <v>249</v>
      </c>
      <c r="C2539" s="54" t="s">
        <v>3615</v>
      </c>
      <c r="D2539" s="12"/>
      <c r="E2539" s="26" t="s">
        <v>14</v>
      </c>
      <c r="F2539" s="12"/>
      <c r="G2539" s="12"/>
      <c r="H2539" s="33">
        <v>21</v>
      </c>
      <c r="I2539" s="23" t="s">
        <v>18</v>
      </c>
    </row>
    <row r="2540" spans="1:9" ht="31.2">
      <c r="A2540" s="87">
        <v>559520</v>
      </c>
      <c r="B2540" s="8" t="s">
        <v>249</v>
      </c>
      <c r="C2540" s="16" t="s">
        <v>3616</v>
      </c>
      <c r="D2540" s="12"/>
      <c r="E2540" s="26" t="s">
        <v>14</v>
      </c>
      <c r="F2540" s="32" t="s">
        <v>43</v>
      </c>
      <c r="G2540" s="12"/>
      <c r="H2540" s="33">
        <v>75</v>
      </c>
      <c r="I2540" s="14" t="s">
        <v>15</v>
      </c>
    </row>
    <row r="2541" spans="1:9" ht="31.2">
      <c r="A2541" s="87">
        <v>622809</v>
      </c>
      <c r="B2541" s="8" t="s">
        <v>249</v>
      </c>
      <c r="C2541" s="35" t="s">
        <v>3617</v>
      </c>
      <c r="D2541" s="12"/>
      <c r="E2541" s="26" t="s">
        <v>14</v>
      </c>
      <c r="F2541" s="12"/>
      <c r="G2541" s="12"/>
      <c r="H2541" s="33">
        <v>129</v>
      </c>
      <c r="I2541" s="14" t="s">
        <v>11</v>
      </c>
    </row>
    <row r="2542" spans="1:9" ht="31.2">
      <c r="A2542" s="87" t="s">
        <v>3618</v>
      </c>
      <c r="B2542" s="8" t="s">
        <v>249</v>
      </c>
      <c r="C2542" s="16" t="s">
        <v>3619</v>
      </c>
      <c r="D2542" s="12"/>
      <c r="E2542" s="26" t="s">
        <v>14</v>
      </c>
      <c r="F2542" s="12"/>
      <c r="G2542" s="12"/>
      <c r="H2542" s="33">
        <v>75</v>
      </c>
      <c r="I2542" s="14" t="s">
        <v>15</v>
      </c>
    </row>
    <row r="2543" spans="1:9" ht="31.2">
      <c r="A2543" s="87" t="s">
        <v>3618</v>
      </c>
      <c r="B2543" s="8" t="s">
        <v>249</v>
      </c>
      <c r="C2543" s="16" t="s">
        <v>3620</v>
      </c>
      <c r="D2543" s="32" t="s">
        <v>220</v>
      </c>
      <c r="E2543" s="12"/>
      <c r="F2543" s="12"/>
      <c r="G2543" s="12"/>
      <c r="H2543" s="33">
        <v>498</v>
      </c>
      <c r="I2543" s="14" t="s">
        <v>15</v>
      </c>
    </row>
    <row r="2544" spans="1:9" ht="62.4">
      <c r="A2544" s="14" t="s">
        <v>3621</v>
      </c>
      <c r="B2544" s="8" t="s">
        <v>249</v>
      </c>
      <c r="C2544" s="35" t="s">
        <v>3622</v>
      </c>
      <c r="D2544" s="32" t="s">
        <v>220</v>
      </c>
      <c r="E2544" s="12"/>
      <c r="F2544" s="12"/>
      <c r="G2544" s="12"/>
      <c r="H2544" s="33">
        <v>472</v>
      </c>
      <c r="I2544" s="14" t="s">
        <v>11</v>
      </c>
    </row>
    <row r="2545" spans="1:9" ht="46.8">
      <c r="A2545" s="87">
        <v>305185</v>
      </c>
      <c r="B2545" s="8" t="s">
        <v>249</v>
      </c>
      <c r="C2545" s="16" t="s">
        <v>3623</v>
      </c>
      <c r="D2545" s="32" t="s">
        <v>220</v>
      </c>
      <c r="E2545" s="12"/>
      <c r="F2545" s="12"/>
      <c r="G2545" s="12"/>
      <c r="H2545" s="33">
        <v>80</v>
      </c>
      <c r="I2545" s="14" t="s">
        <v>15</v>
      </c>
    </row>
    <row r="2546" spans="1:9" ht="31.2">
      <c r="A2546" s="29" t="s">
        <v>3624</v>
      </c>
      <c r="B2546" s="8" t="s">
        <v>249</v>
      </c>
      <c r="C2546" s="16" t="s">
        <v>3625</v>
      </c>
      <c r="D2546" s="26" t="s">
        <v>220</v>
      </c>
      <c r="E2546" s="12"/>
      <c r="F2546" s="12"/>
      <c r="G2546" s="12"/>
      <c r="H2546" s="100" t="s">
        <v>1870</v>
      </c>
      <c r="I2546" s="14" t="s">
        <v>15</v>
      </c>
    </row>
    <row r="2547" spans="1:9" ht="62.4">
      <c r="A2547" s="101">
        <v>1600861</v>
      </c>
      <c r="B2547" s="102" t="s">
        <v>249</v>
      </c>
      <c r="C2547" s="103" t="s">
        <v>3626</v>
      </c>
      <c r="D2547" s="67"/>
      <c r="E2547" s="68"/>
      <c r="F2547" s="68"/>
      <c r="G2547" s="60" t="s">
        <v>3627</v>
      </c>
      <c r="H2547" s="104">
        <v>86</v>
      </c>
      <c r="I2547" s="14" t="s">
        <v>15</v>
      </c>
    </row>
    <row r="2548" spans="1:9" ht="62.4">
      <c r="A2548" s="101">
        <v>1600875</v>
      </c>
      <c r="B2548" s="102" t="s">
        <v>249</v>
      </c>
      <c r="C2548" s="105" t="s">
        <v>3628</v>
      </c>
      <c r="D2548" s="67"/>
      <c r="E2548" s="68"/>
      <c r="F2548" s="68"/>
      <c r="G2548" s="60" t="s">
        <v>3627</v>
      </c>
      <c r="H2548" s="104">
        <v>86</v>
      </c>
      <c r="I2548" s="14" t="s">
        <v>15</v>
      </c>
    </row>
    <row r="2549" spans="1:9" ht="62.4">
      <c r="A2549" s="101">
        <v>1600868</v>
      </c>
      <c r="B2549" s="102" t="s">
        <v>249</v>
      </c>
      <c r="C2549" s="105" t="s">
        <v>3629</v>
      </c>
      <c r="D2549" s="67"/>
      <c r="E2549" s="68"/>
      <c r="F2549" s="68"/>
      <c r="G2549" s="60" t="s">
        <v>3627</v>
      </c>
      <c r="H2549" s="104">
        <v>86</v>
      </c>
      <c r="I2549" s="14" t="s">
        <v>15</v>
      </c>
    </row>
    <row r="2550" spans="1:9" ht="62.4">
      <c r="A2550" s="106">
        <v>1593390</v>
      </c>
      <c r="B2550" s="102" t="s">
        <v>249</v>
      </c>
      <c r="C2550" s="105" t="s">
        <v>3630</v>
      </c>
      <c r="D2550" s="67"/>
      <c r="E2550" s="68"/>
      <c r="F2550" s="68"/>
      <c r="G2550" s="60" t="s">
        <v>3627</v>
      </c>
      <c r="H2550" s="104">
        <v>86</v>
      </c>
      <c r="I2550" s="14" t="s">
        <v>15</v>
      </c>
    </row>
    <row r="2551" spans="1:9" ht="62.4">
      <c r="A2551" s="106">
        <v>1593307</v>
      </c>
      <c r="B2551" s="102" t="s">
        <v>249</v>
      </c>
      <c r="C2551" s="105" t="s">
        <v>3631</v>
      </c>
      <c r="D2551" s="67"/>
      <c r="E2551" s="68"/>
      <c r="F2551" s="68"/>
      <c r="G2551" s="60" t="s">
        <v>3627</v>
      </c>
      <c r="H2551" s="104">
        <v>86</v>
      </c>
      <c r="I2551" s="14" t="s">
        <v>15</v>
      </c>
    </row>
    <row r="2552" spans="1:9" ht="62.4">
      <c r="A2552" s="101">
        <v>1633638</v>
      </c>
      <c r="B2552" s="102" t="s">
        <v>249</v>
      </c>
      <c r="C2552" s="105" t="s">
        <v>3632</v>
      </c>
      <c r="D2552" s="67"/>
      <c r="E2552" s="68"/>
      <c r="F2552" s="68"/>
      <c r="G2552" s="60" t="s">
        <v>3627</v>
      </c>
      <c r="H2552" s="104">
        <v>86</v>
      </c>
      <c r="I2552" s="14" t="s">
        <v>15</v>
      </c>
    </row>
    <row r="2553" spans="1:9" ht="78">
      <c r="A2553" s="101">
        <v>306065</v>
      </c>
      <c r="B2553" s="102" t="s">
        <v>249</v>
      </c>
      <c r="C2553" s="105" t="s">
        <v>3633</v>
      </c>
      <c r="D2553" s="67"/>
      <c r="E2553" s="68"/>
      <c r="F2553" s="68"/>
      <c r="G2553" s="60" t="str">
        <f>HYPERLINK("https://ncap.org.uk/","National Collection of Aerial Photography (UK)")</f>
        <v>National Collection of Aerial Photography (UK)</v>
      </c>
      <c r="H2553" s="104">
        <v>373</v>
      </c>
      <c r="I2553" s="14" t="s">
        <v>15</v>
      </c>
    </row>
    <row r="2554" spans="1:9" ht="62.4">
      <c r="A2554" s="101">
        <v>594258</v>
      </c>
      <c r="B2554" s="102" t="s">
        <v>249</v>
      </c>
      <c r="C2554" s="107" t="s">
        <v>3634</v>
      </c>
      <c r="D2554" s="67"/>
      <c r="E2554" s="68"/>
      <c r="F2554" s="68"/>
      <c r="G2554" s="70" t="s">
        <v>3635</v>
      </c>
      <c r="H2554" s="104">
        <v>24</v>
      </c>
      <c r="I2554" s="14" t="s">
        <v>15</v>
      </c>
    </row>
    <row r="2555" spans="1:9" ht="62.4">
      <c r="A2555" s="101">
        <v>559642</v>
      </c>
      <c r="B2555" s="102" t="s">
        <v>249</v>
      </c>
      <c r="C2555" s="107" t="s">
        <v>3636</v>
      </c>
      <c r="D2555" s="67"/>
      <c r="E2555" s="68"/>
      <c r="F2555" s="68"/>
      <c r="G2555" s="70" t="s">
        <v>3635</v>
      </c>
      <c r="H2555" s="104">
        <v>26</v>
      </c>
      <c r="I2555" s="14" t="s">
        <v>15</v>
      </c>
    </row>
    <row r="2556" spans="1:9" ht="31.2">
      <c r="A2556" s="7">
        <v>24200261</v>
      </c>
      <c r="B2556" s="21" t="s">
        <v>249</v>
      </c>
      <c r="C2556" s="35" t="s">
        <v>3637</v>
      </c>
      <c r="D2556" s="11"/>
      <c r="E2556" s="12"/>
      <c r="F2556" s="39" t="s">
        <v>43</v>
      </c>
      <c r="G2556" s="12"/>
      <c r="H2556" s="20">
        <v>21</v>
      </c>
      <c r="I2556" s="14" t="s">
        <v>18</v>
      </c>
    </row>
    <row r="2557" spans="1:9" ht="31.2">
      <c r="A2557" s="7">
        <v>24200417</v>
      </c>
      <c r="B2557" s="21" t="s">
        <v>249</v>
      </c>
      <c r="C2557" s="35" t="s">
        <v>3638</v>
      </c>
      <c r="D2557" s="11"/>
      <c r="E2557" s="12"/>
      <c r="F2557" s="39" t="s">
        <v>43</v>
      </c>
      <c r="G2557" s="12"/>
      <c r="H2557" s="20">
        <v>21</v>
      </c>
      <c r="I2557" s="14" t="s">
        <v>18</v>
      </c>
    </row>
    <row r="2558" spans="1:9" ht="31.2">
      <c r="A2558" s="25">
        <v>24200770</v>
      </c>
      <c r="B2558" s="21" t="s">
        <v>249</v>
      </c>
      <c r="C2558" s="38" t="s">
        <v>3639</v>
      </c>
      <c r="D2558" s="11"/>
      <c r="E2558" s="12"/>
      <c r="F2558" s="39" t="s">
        <v>43</v>
      </c>
      <c r="G2558" s="12"/>
      <c r="H2558" s="20">
        <v>21</v>
      </c>
      <c r="I2558" s="14" t="s">
        <v>18</v>
      </c>
    </row>
    <row r="2559" spans="1:9" ht="93.6">
      <c r="A2559" s="36">
        <v>306742</v>
      </c>
      <c r="B2559" s="8" t="s">
        <v>3640</v>
      </c>
      <c r="C2559" s="35" t="s">
        <v>3641</v>
      </c>
      <c r="D2559" s="12"/>
      <c r="E2559" s="12"/>
      <c r="F2559" s="32" t="s">
        <v>43</v>
      </c>
      <c r="G2559" s="12"/>
      <c r="H2559" s="33">
        <v>330</v>
      </c>
      <c r="I2559" s="14" t="s">
        <v>3642</v>
      </c>
    </row>
    <row r="2560" spans="1:9" ht="93.6">
      <c r="A2560" s="36">
        <v>566634</v>
      </c>
      <c r="B2560" s="8" t="s">
        <v>3640</v>
      </c>
      <c r="C2560" s="49" t="s">
        <v>3643</v>
      </c>
      <c r="D2560" s="12"/>
      <c r="E2560" s="12"/>
      <c r="F2560" s="32" t="s">
        <v>43</v>
      </c>
      <c r="G2560" s="12"/>
      <c r="H2560" s="33" t="s">
        <v>3644</v>
      </c>
      <c r="I2560" s="14" t="s">
        <v>3642</v>
      </c>
    </row>
    <row r="2561" spans="1:9" ht="93.6">
      <c r="A2561" s="36">
        <v>566637</v>
      </c>
      <c r="B2561" s="8" t="s">
        <v>3640</v>
      </c>
      <c r="C2561" s="49" t="s">
        <v>3645</v>
      </c>
      <c r="D2561" s="12"/>
      <c r="E2561" s="12"/>
      <c r="F2561" s="32" t="s">
        <v>43</v>
      </c>
      <c r="G2561" s="12"/>
      <c r="H2561" s="33" t="s">
        <v>3644</v>
      </c>
      <c r="I2561" s="14" t="s">
        <v>3642</v>
      </c>
    </row>
    <row r="2562" spans="1:9" ht="93.6">
      <c r="A2562" s="36">
        <v>566638</v>
      </c>
      <c r="B2562" s="8" t="s">
        <v>3640</v>
      </c>
      <c r="C2562" s="35" t="s">
        <v>3646</v>
      </c>
      <c r="D2562" s="12"/>
      <c r="E2562" s="12"/>
      <c r="F2562" s="32" t="s">
        <v>43</v>
      </c>
      <c r="G2562" s="12"/>
      <c r="H2562" s="33" t="s">
        <v>3644</v>
      </c>
      <c r="I2562" s="14" t="s">
        <v>3642</v>
      </c>
    </row>
    <row r="2563" spans="1:9" ht="93.6">
      <c r="A2563" s="36">
        <v>569666</v>
      </c>
      <c r="B2563" s="8" t="s">
        <v>3640</v>
      </c>
      <c r="C2563" s="35" t="s">
        <v>3647</v>
      </c>
      <c r="D2563" s="12"/>
      <c r="E2563" s="12"/>
      <c r="F2563" s="32" t="s">
        <v>43</v>
      </c>
      <c r="G2563" s="12"/>
      <c r="H2563" s="33" t="s">
        <v>3644</v>
      </c>
      <c r="I2563" s="14" t="s">
        <v>3642</v>
      </c>
    </row>
    <row r="2564" spans="1:9" ht="93.6">
      <c r="A2564" s="36">
        <v>570981</v>
      </c>
      <c r="B2564" s="8" t="s">
        <v>3640</v>
      </c>
      <c r="C2564" s="49" t="s">
        <v>3648</v>
      </c>
      <c r="D2564" s="12"/>
      <c r="E2564" s="12"/>
      <c r="F2564" s="32" t="s">
        <v>43</v>
      </c>
      <c r="G2564" s="12"/>
      <c r="H2564" s="33">
        <v>185</v>
      </c>
      <c r="I2564" s="14" t="s">
        <v>3642</v>
      </c>
    </row>
    <row r="2565" spans="1:9" ht="93.6">
      <c r="A2565" s="29">
        <v>571686</v>
      </c>
      <c r="B2565" s="8" t="s">
        <v>3640</v>
      </c>
      <c r="C2565" s="49" t="s">
        <v>3649</v>
      </c>
      <c r="D2565" s="12"/>
      <c r="E2565" s="26" t="s">
        <v>14</v>
      </c>
      <c r="F2565" s="32" t="s">
        <v>43</v>
      </c>
      <c r="G2565" s="12"/>
      <c r="H2565" s="33">
        <v>330</v>
      </c>
      <c r="I2565" s="14" t="s">
        <v>3642</v>
      </c>
    </row>
    <row r="2566" spans="1:9" ht="93.6">
      <c r="A2566" s="36">
        <v>571687</v>
      </c>
      <c r="B2566" s="8" t="s">
        <v>3640</v>
      </c>
      <c r="C2566" s="49" t="s">
        <v>3650</v>
      </c>
      <c r="D2566" s="12"/>
      <c r="E2566" s="26" t="s">
        <v>14</v>
      </c>
      <c r="F2566" s="32" t="s">
        <v>43</v>
      </c>
      <c r="G2566" s="12"/>
      <c r="H2566" s="33" t="s">
        <v>3651</v>
      </c>
      <c r="I2566" s="14" t="s">
        <v>3642</v>
      </c>
    </row>
    <row r="2567" spans="1:9" ht="93.6">
      <c r="A2567" s="29">
        <v>574045</v>
      </c>
      <c r="B2567" s="8" t="s">
        <v>3640</v>
      </c>
      <c r="C2567" s="49" t="s">
        <v>3652</v>
      </c>
      <c r="D2567" s="12"/>
      <c r="E2567" s="12"/>
      <c r="F2567" s="32" t="s">
        <v>43</v>
      </c>
      <c r="G2567" s="12"/>
      <c r="H2567" s="33">
        <v>210</v>
      </c>
      <c r="I2567" s="14" t="s">
        <v>3642</v>
      </c>
    </row>
    <row r="2568" spans="1:9" ht="31.2">
      <c r="A2568" s="29">
        <v>583428</v>
      </c>
      <c r="B2568" s="8" t="s">
        <v>3640</v>
      </c>
      <c r="C2568" s="49" t="str">
        <f>HYPERLINK("https://aad.archives.gov/aad/series-description.jsp?s=644&amp;cat=WR26&amp;bc=,sl","Records of World War II Prisoners of War")</f>
        <v>Records of World War II Prisoners of War</v>
      </c>
      <c r="D2568" s="12"/>
      <c r="E2568" s="26" t="s">
        <v>14</v>
      </c>
      <c r="F2568" s="12"/>
      <c r="G2568" s="12"/>
      <c r="H2568" s="33">
        <v>389</v>
      </c>
      <c r="I2568" s="14" t="s">
        <v>15</v>
      </c>
    </row>
    <row r="2569" spans="1:9" ht="93.6">
      <c r="A2569" s="36">
        <v>583429</v>
      </c>
      <c r="B2569" s="8" t="s">
        <v>3640</v>
      </c>
      <c r="C2569" s="49" t="s">
        <v>3653</v>
      </c>
      <c r="D2569" s="12"/>
      <c r="E2569" s="12"/>
      <c r="F2569" s="32" t="s">
        <v>43</v>
      </c>
      <c r="G2569" s="12"/>
      <c r="H2569" s="33">
        <v>319</v>
      </c>
      <c r="I2569" s="14" t="s">
        <v>3642</v>
      </c>
    </row>
    <row r="2570" spans="1:9" ht="93.6">
      <c r="A2570" s="36">
        <v>583580</v>
      </c>
      <c r="B2570" s="8" t="s">
        <v>3640</v>
      </c>
      <c r="C2570" s="49" t="s">
        <v>3654</v>
      </c>
      <c r="D2570" s="12"/>
      <c r="E2570" s="12"/>
      <c r="F2570" s="32" t="s">
        <v>43</v>
      </c>
      <c r="G2570" s="12"/>
      <c r="H2570" s="33">
        <v>407</v>
      </c>
      <c r="I2570" s="14" t="s">
        <v>3642</v>
      </c>
    </row>
    <row r="2571" spans="1:9" ht="93.6">
      <c r="A2571" s="36">
        <v>583582</v>
      </c>
      <c r="B2571" s="8" t="s">
        <v>3640</v>
      </c>
      <c r="C2571" s="49" t="s">
        <v>3655</v>
      </c>
      <c r="D2571" s="12"/>
      <c r="E2571" s="12"/>
      <c r="F2571" s="32" t="s">
        <v>43</v>
      </c>
      <c r="G2571" s="12"/>
      <c r="H2571" s="33">
        <v>15</v>
      </c>
      <c r="I2571" s="14" t="s">
        <v>3642</v>
      </c>
    </row>
    <row r="2572" spans="1:9" ht="93.6">
      <c r="A2572" s="29">
        <v>604357</v>
      </c>
      <c r="B2572" s="8" t="s">
        <v>3640</v>
      </c>
      <c r="C2572" s="49" t="s">
        <v>3656</v>
      </c>
      <c r="D2572" s="32" t="s">
        <v>220</v>
      </c>
      <c r="E2572" s="12"/>
      <c r="F2572" s="32" t="s">
        <v>43</v>
      </c>
      <c r="G2572" s="12"/>
      <c r="H2572" s="33">
        <v>64</v>
      </c>
      <c r="I2572" s="14" t="s">
        <v>3642</v>
      </c>
    </row>
    <row r="2573" spans="1:9" ht="93.6">
      <c r="A2573" s="29">
        <v>622629</v>
      </c>
      <c r="B2573" s="8" t="s">
        <v>3640</v>
      </c>
      <c r="C2573" s="49" t="s">
        <v>3657</v>
      </c>
      <c r="D2573" s="12"/>
      <c r="E2573" s="12"/>
      <c r="F2573" s="32" t="s">
        <v>43</v>
      </c>
      <c r="G2573" s="12"/>
      <c r="H2573" s="33">
        <v>307</v>
      </c>
      <c r="I2573" s="14" t="s">
        <v>3642</v>
      </c>
    </row>
    <row r="2574" spans="1:9" ht="93.6">
      <c r="A2574" s="36">
        <v>641697</v>
      </c>
      <c r="B2574" s="8" t="s">
        <v>3640</v>
      </c>
      <c r="C2574" s="49" t="s">
        <v>3658</v>
      </c>
      <c r="D2574" s="12"/>
      <c r="E2574" s="12"/>
      <c r="F2574" s="32" t="s">
        <v>43</v>
      </c>
      <c r="G2574" s="12"/>
      <c r="H2574" s="33">
        <v>407</v>
      </c>
      <c r="I2574" s="14" t="s">
        <v>3642</v>
      </c>
    </row>
    <row r="2575" spans="1:9" ht="93.6">
      <c r="A2575" s="36">
        <v>731002</v>
      </c>
      <c r="B2575" s="8" t="s">
        <v>3640</v>
      </c>
      <c r="C2575" s="49" t="s">
        <v>3659</v>
      </c>
      <c r="D2575" s="12"/>
      <c r="E2575" s="12"/>
      <c r="F2575" s="32" t="s">
        <v>43</v>
      </c>
      <c r="G2575" s="12"/>
      <c r="H2575" s="33" t="s">
        <v>3660</v>
      </c>
      <c r="I2575" s="14" t="s">
        <v>3642</v>
      </c>
    </row>
    <row r="2576" spans="1:9" ht="31.2">
      <c r="A2576" s="15">
        <v>148373459</v>
      </c>
      <c r="B2576" s="8" t="s">
        <v>3661</v>
      </c>
      <c r="C2576" s="35" t="s">
        <v>3662</v>
      </c>
      <c r="D2576" s="11" t="str">
        <f>HYPERLINK("https://www.fold3.com/title/493/wwii-naval-press-clippings","Fold3.com")</f>
        <v>Fold3.com</v>
      </c>
      <c r="E2576" s="12"/>
      <c r="F2576" s="12"/>
      <c r="G2576" s="12"/>
      <c r="H2576" s="13">
        <v>181</v>
      </c>
      <c r="I2576" s="23" t="s">
        <v>11</v>
      </c>
    </row>
    <row r="2577" spans="1:9" ht="31.2">
      <c r="A2577" s="15">
        <v>4499451</v>
      </c>
      <c r="B2577" s="8" t="s">
        <v>3663</v>
      </c>
      <c r="C2577" s="16" t="s">
        <v>3664</v>
      </c>
      <c r="D2577" s="17" t="s">
        <v>220</v>
      </c>
      <c r="E2577" s="17" t="s">
        <v>14</v>
      </c>
      <c r="F2577" s="11" t="s">
        <v>43</v>
      </c>
      <c r="G2577" s="12"/>
      <c r="H2577" s="13">
        <v>21</v>
      </c>
      <c r="I2577" s="14" t="s">
        <v>15</v>
      </c>
    </row>
    <row r="2578" spans="1:9" ht="31.2">
      <c r="A2578" s="15">
        <v>559527</v>
      </c>
      <c r="B2578" s="8" t="s">
        <v>3665</v>
      </c>
      <c r="C2578" s="49" t="s">
        <v>3666</v>
      </c>
      <c r="D2578" s="12"/>
      <c r="E2578" s="17" t="s">
        <v>14</v>
      </c>
      <c r="F2578" s="12"/>
      <c r="G2578" s="12"/>
      <c r="H2578" s="13">
        <v>75</v>
      </c>
      <c r="I2578" s="23" t="s">
        <v>11</v>
      </c>
    </row>
    <row r="2579" spans="1:9" ht="31.2">
      <c r="A2579" s="15">
        <v>524418</v>
      </c>
      <c r="B2579" s="8" t="s">
        <v>3667</v>
      </c>
      <c r="C2579" s="49" t="str">
        <f>HYPERLINK("https://catalog.archives.gov/search?q=*:*&amp;f.ancestorNaIds=524418&amp;sort=naIdSort%20asc","Mathew B Brady Collection of Civil War Photographs")</f>
        <v>Mathew B Brady Collection of Civil War Photographs</v>
      </c>
      <c r="D2579" s="11" t="str">
        <f>HYPERLINK("https://www.fold3.com/title/16/brady-civil-war-photos","Fold3.com")</f>
        <v>Fold3.com</v>
      </c>
      <c r="E2579" s="12"/>
      <c r="F2579" s="12"/>
      <c r="G2579" s="12"/>
      <c r="H2579" s="13">
        <v>111</v>
      </c>
      <c r="I2579" s="23" t="s">
        <v>11</v>
      </c>
    </row>
    <row r="2580" spans="1:9" ht="46.8">
      <c r="A2580" s="15">
        <v>2588825</v>
      </c>
      <c r="B2580" s="8" t="s">
        <v>3668</v>
      </c>
      <c r="C2580" s="16" t="s">
        <v>3669</v>
      </c>
      <c r="D2580" s="17" t="s">
        <v>220</v>
      </c>
      <c r="E2580" s="12"/>
      <c r="F2580" s="11" t="s">
        <v>43</v>
      </c>
      <c r="G2580" s="12"/>
      <c r="H2580" s="13">
        <v>15</v>
      </c>
      <c r="I2580" s="14" t="s">
        <v>15</v>
      </c>
    </row>
    <row r="2581" spans="1:9" ht="93.6">
      <c r="A2581" s="15" t="s">
        <v>3670</v>
      </c>
      <c r="B2581" s="8" t="s">
        <v>3671</v>
      </c>
      <c r="C2581" s="49" t="str">
        <f>HYPERLINK("https://catalog.archives.gov/search?q=Jeannette&amp;f.ancestorNaIds=581208","Log of the Arctic Steamer Jeanette, Feb. 15-June 11, 1897.")</f>
        <v>Log of the Arctic Steamer Jeanette, Feb. 15-June 11, 1897.</v>
      </c>
      <c r="D2581" s="11"/>
      <c r="E2581" s="11"/>
      <c r="F2581" s="12"/>
      <c r="G2581" s="60" t="str">
        <f t="shared" ref="G2581:G2582" si="124">HYPERLINK("https://www.pmel.noaa.gov/rediscover/","National Oceanic and Atmospheric Administration (NOAA)")</f>
        <v>National Oceanic and Atmospheric Administration (NOAA)</v>
      </c>
      <c r="H2581" s="13">
        <v>24</v>
      </c>
      <c r="I2581" s="14" t="s">
        <v>11</v>
      </c>
    </row>
    <row r="2582" spans="1:9" ht="93.6">
      <c r="A2582" s="15" t="s">
        <v>3670</v>
      </c>
      <c r="B2582" s="8" t="s">
        <v>3672</v>
      </c>
      <c r="C2582" s="49" t="str">
        <f>HYPERLINK("https://catalog.archives.gov/search?q=Kearsarge&amp;f.ancestorNaIds=581208","Log of the U.S.S. Kearsarge, 1862-1864.")</f>
        <v>Log of the U.S.S. Kearsarge, 1862-1864.</v>
      </c>
      <c r="D2582" s="11"/>
      <c r="E2582" s="11"/>
      <c r="F2582" s="12"/>
      <c r="G2582" s="60" t="str">
        <f t="shared" si="124"/>
        <v>National Oceanic and Atmospheric Administration (NOAA)</v>
      </c>
      <c r="H2582" s="13">
        <v>24</v>
      </c>
      <c r="I2582" s="14" t="s">
        <v>11</v>
      </c>
    </row>
    <row r="2583" spans="1:9" ht="78">
      <c r="A2583" s="15">
        <v>608958</v>
      </c>
      <c r="B2583" s="8" t="s">
        <v>3673</v>
      </c>
      <c r="C2583" s="49" t="s">
        <v>3674</v>
      </c>
      <c r="D2583" s="12"/>
      <c r="E2583" s="17" t="s">
        <v>14</v>
      </c>
      <c r="F2583" s="12"/>
      <c r="G2583" s="12"/>
      <c r="H2583" s="13">
        <v>48</v>
      </c>
      <c r="I2583" s="23" t="s">
        <v>11</v>
      </c>
    </row>
    <row r="2584" spans="1:9" ht="31.2">
      <c r="A2584" s="15">
        <v>4492734</v>
      </c>
      <c r="B2584" s="8" t="s">
        <v>3675</v>
      </c>
      <c r="C2584" s="35" t="s">
        <v>3676</v>
      </c>
      <c r="D2584" s="12"/>
      <c r="E2584" s="12"/>
      <c r="F2584" s="11" t="s">
        <v>43</v>
      </c>
      <c r="G2584" s="12"/>
      <c r="H2584" s="13">
        <v>85</v>
      </c>
      <c r="I2584" s="23" t="s">
        <v>18</v>
      </c>
    </row>
    <row r="2585" spans="1:9" ht="31.2">
      <c r="A2585" s="15" t="s">
        <v>3677</v>
      </c>
      <c r="B2585" s="8" t="s">
        <v>3678</v>
      </c>
      <c r="C2585" s="35" t="s">
        <v>3679</v>
      </c>
      <c r="D2585" s="17" t="s">
        <v>220</v>
      </c>
      <c r="E2585" s="17" t="s">
        <v>14</v>
      </c>
      <c r="F2585" s="11" t="s">
        <v>43</v>
      </c>
      <c r="G2585" s="12"/>
      <c r="H2585" s="13">
        <v>29</v>
      </c>
      <c r="I2585" s="23" t="s">
        <v>18</v>
      </c>
    </row>
    <row r="2586" spans="1:9" ht="46.8">
      <c r="A2586" s="15" t="s">
        <v>3680</v>
      </c>
      <c r="B2586" s="8" t="s">
        <v>3681</v>
      </c>
      <c r="C2586" s="35" t="s">
        <v>3682</v>
      </c>
      <c r="D2586" s="17" t="s">
        <v>220</v>
      </c>
      <c r="E2586" s="17" t="s">
        <v>14</v>
      </c>
      <c r="F2586" s="11" t="s">
        <v>43</v>
      </c>
      <c r="G2586" s="12"/>
      <c r="H2586" s="13">
        <v>29</v>
      </c>
      <c r="I2586" s="23" t="s">
        <v>18</v>
      </c>
    </row>
    <row r="2587" spans="1:9" ht="46.8">
      <c r="A2587" s="15" t="s">
        <v>3683</v>
      </c>
      <c r="B2587" s="8" t="s">
        <v>3684</v>
      </c>
      <c r="C2587" s="35" t="s">
        <v>3685</v>
      </c>
      <c r="D2587" s="17" t="s">
        <v>220</v>
      </c>
      <c r="E2587" s="17" t="s">
        <v>14</v>
      </c>
      <c r="F2587" s="11" t="s">
        <v>43</v>
      </c>
      <c r="G2587" s="12"/>
      <c r="H2587" s="13">
        <v>29</v>
      </c>
      <c r="I2587" s="23" t="s">
        <v>18</v>
      </c>
    </row>
    <row r="2588" spans="1:9" ht="31.2">
      <c r="A2588" s="15" t="s">
        <v>3686</v>
      </c>
      <c r="B2588" s="8" t="s">
        <v>3687</v>
      </c>
      <c r="C2588" s="35" t="s">
        <v>3688</v>
      </c>
      <c r="D2588" s="17" t="s">
        <v>220</v>
      </c>
      <c r="E2588" s="17" t="s">
        <v>14</v>
      </c>
      <c r="F2588" s="11" t="s">
        <v>43</v>
      </c>
      <c r="G2588" s="12"/>
      <c r="H2588" s="13">
        <v>29</v>
      </c>
      <c r="I2588" s="14" t="s">
        <v>18</v>
      </c>
    </row>
    <row r="2589" spans="1:9" ht="15.6">
      <c r="A2589" s="15">
        <v>16660414</v>
      </c>
      <c r="B2589" s="8" t="s">
        <v>3689</v>
      </c>
      <c r="C2589" s="35" t="s">
        <v>3690</v>
      </c>
      <c r="D2589" s="12"/>
      <c r="E2589" s="12"/>
      <c r="F2589" s="11" t="s">
        <v>43</v>
      </c>
      <c r="G2589" s="12"/>
      <c r="H2589" s="13">
        <v>29</v>
      </c>
      <c r="I2589" s="23" t="s">
        <v>11</v>
      </c>
    </row>
    <row r="2590" spans="1:9" ht="93.6">
      <c r="A2590" s="15" t="s">
        <v>3691</v>
      </c>
      <c r="B2590" s="8" t="s">
        <v>3692</v>
      </c>
      <c r="C2590" s="16" t="s">
        <v>3693</v>
      </c>
      <c r="D2590" s="11"/>
      <c r="E2590" s="11"/>
      <c r="F2590" s="12"/>
      <c r="G2590" s="60" t="str">
        <f>HYPERLINK("https://www.pmel.noaa.gov/rediscover/","National Oceanic and Atmospheric Administration (NOAA)")</f>
        <v>National Oceanic and Atmospheric Administration (NOAA)</v>
      </c>
      <c r="H2590" s="13" t="s">
        <v>1962</v>
      </c>
      <c r="I2590" s="14" t="s">
        <v>15</v>
      </c>
    </row>
    <row r="2591" spans="1:9" ht="31.2">
      <c r="A2591" s="15">
        <v>6857840</v>
      </c>
      <c r="B2591" s="8" t="s">
        <v>3694</v>
      </c>
      <c r="C2591" s="59" t="s">
        <v>3695</v>
      </c>
      <c r="D2591" s="12"/>
      <c r="E2591" s="17" t="s">
        <v>14</v>
      </c>
      <c r="F2591" s="11" t="s">
        <v>43</v>
      </c>
      <c r="G2591" s="12"/>
      <c r="H2591" s="13">
        <v>49</v>
      </c>
      <c r="I2591" s="23" t="s">
        <v>18</v>
      </c>
    </row>
    <row r="2592" spans="1:9" ht="31.2">
      <c r="A2592" s="15">
        <v>4477487</v>
      </c>
      <c r="B2592" s="8" t="s">
        <v>3696</v>
      </c>
      <c r="C2592" s="35" t="s">
        <v>3697</v>
      </c>
      <c r="D2592" s="12"/>
      <c r="E2592" s="17" t="s">
        <v>14</v>
      </c>
      <c r="F2592" s="11" t="s">
        <v>43</v>
      </c>
      <c r="G2592" s="12"/>
      <c r="H2592" s="13">
        <v>85</v>
      </c>
      <c r="I2592" s="23" t="s">
        <v>18</v>
      </c>
    </row>
    <row r="2593" spans="1:9" ht="31.2">
      <c r="A2593" s="15">
        <v>4492828</v>
      </c>
      <c r="B2593" s="8" t="s">
        <v>3698</v>
      </c>
      <c r="C2593" s="49" t="s">
        <v>3699</v>
      </c>
      <c r="D2593" s="12"/>
      <c r="E2593" s="17" t="s">
        <v>14</v>
      </c>
      <c r="F2593" s="12"/>
      <c r="G2593" s="12"/>
      <c r="H2593" s="13">
        <v>85</v>
      </c>
      <c r="I2593" s="23" t="s">
        <v>11</v>
      </c>
    </row>
    <row r="2594" spans="1:9" ht="31.2">
      <c r="A2594" s="64">
        <v>4345370</v>
      </c>
      <c r="B2594" s="8" t="s">
        <v>3700</v>
      </c>
      <c r="C2594" s="35" t="s">
        <v>3701</v>
      </c>
      <c r="D2594" s="12"/>
      <c r="E2594" s="17" t="s">
        <v>14</v>
      </c>
      <c r="F2594" s="11" t="s">
        <v>43</v>
      </c>
      <c r="G2594" s="12"/>
      <c r="H2594" s="13">
        <v>85</v>
      </c>
      <c r="I2594" s="23" t="s">
        <v>18</v>
      </c>
    </row>
    <row r="2595" spans="1:9" ht="31.2">
      <c r="A2595" s="15">
        <v>4477499</v>
      </c>
      <c r="B2595" s="8" t="s">
        <v>3702</v>
      </c>
      <c r="C2595" s="16" t="s">
        <v>3703</v>
      </c>
      <c r="D2595" s="12"/>
      <c r="E2595" s="17" t="s">
        <v>14</v>
      </c>
      <c r="F2595" s="11" t="str">
        <f>HYPERLINK("https://www.familysearch.org/search/catalog/573441?availability=Family%20History%20Library","FamilySearch.org")</f>
        <v>FamilySearch.org</v>
      </c>
      <c r="G2595" s="12"/>
      <c r="H2595" s="13">
        <v>85</v>
      </c>
      <c r="I2595" s="14" t="s">
        <v>15</v>
      </c>
    </row>
    <row r="2596" spans="1:9" ht="31.2">
      <c r="A2596" s="108">
        <v>4397773</v>
      </c>
      <c r="B2596" s="21" t="s">
        <v>3704</v>
      </c>
      <c r="C2596" s="109" t="s">
        <v>3705</v>
      </c>
      <c r="D2596" s="11"/>
      <c r="E2596" s="17" t="s">
        <v>14</v>
      </c>
      <c r="F2596" s="17" t="s">
        <v>43</v>
      </c>
      <c r="G2596" s="12"/>
      <c r="H2596" s="20">
        <v>85</v>
      </c>
      <c r="I2596" s="14" t="s">
        <v>15</v>
      </c>
    </row>
    <row r="2597" spans="1:9" ht="31.2">
      <c r="A2597" s="15">
        <v>922159</v>
      </c>
      <c r="B2597" s="8" t="s">
        <v>3706</v>
      </c>
      <c r="C2597" s="49" t="str">
        <f>HYPERLINK("https://catalog.archives.gov/search?q=T977&amp;f.ancestorNaIds=602065","US Marine Corps Muster Rolls, 1893 - 1940.")</f>
        <v>US Marine Corps Muster Rolls, 1893 - 1940.</v>
      </c>
      <c r="D2597" s="12"/>
      <c r="E2597" s="17" t="s">
        <v>14</v>
      </c>
      <c r="F2597" s="11" t="s">
        <v>43</v>
      </c>
      <c r="G2597" s="12"/>
      <c r="H2597" s="13">
        <v>127</v>
      </c>
      <c r="I2597" s="23" t="s">
        <v>18</v>
      </c>
    </row>
    <row r="2598" spans="1:9" ht="31.2">
      <c r="A2598" s="15">
        <v>6124377</v>
      </c>
      <c r="B2598" s="8" t="s">
        <v>3707</v>
      </c>
      <c r="C2598" s="49" t="s">
        <v>3708</v>
      </c>
      <c r="D2598" s="17" t="s">
        <v>220</v>
      </c>
      <c r="E2598" s="12"/>
      <c r="F2598" s="12"/>
      <c r="G2598" s="12"/>
      <c r="H2598" s="13">
        <v>238</v>
      </c>
      <c r="I2598" s="23" t="s">
        <v>11</v>
      </c>
    </row>
    <row r="2599" spans="1:9" ht="46.8">
      <c r="A2599" s="15">
        <v>581096</v>
      </c>
      <c r="B2599" s="8" t="s">
        <v>3709</v>
      </c>
      <c r="C2599" s="35" t="s">
        <v>3710</v>
      </c>
      <c r="D2599" s="17" t="s">
        <v>220</v>
      </c>
      <c r="E2599" s="12"/>
      <c r="F2599" s="12"/>
      <c r="G2599" s="12"/>
      <c r="H2599" s="13">
        <v>549</v>
      </c>
      <c r="I2599" s="23" t="s">
        <v>11</v>
      </c>
    </row>
    <row r="2600" spans="1:9" ht="93.6">
      <c r="A2600" s="15" t="s">
        <v>3670</v>
      </c>
      <c r="B2600" s="8" t="s">
        <v>3711</v>
      </c>
      <c r="C2600" s="49" t="str">
        <f>HYPERLINK("https://catalog.archives.gov/search?q=Susquehanna&amp;f.ancestorNaIds=581208","Log Books of the U.S.S. Susquehanna, 1853-1855.")</f>
        <v>Log Books of the U.S.S. Susquehanna, 1853-1855.</v>
      </c>
      <c r="D2600" s="11"/>
      <c r="E2600" s="11"/>
      <c r="F2600" s="12"/>
      <c r="G2600" s="60" t="str">
        <f t="shared" ref="G2600:G2609" si="125">HYPERLINK("https://www.pmel.noaa.gov/rediscover/","National Oceanic and Atmospheric Administration (NOAA)")</f>
        <v>National Oceanic and Atmospheric Administration (NOAA)</v>
      </c>
      <c r="H2600" s="13">
        <v>24</v>
      </c>
      <c r="I2600" s="14" t="s">
        <v>11</v>
      </c>
    </row>
    <row r="2601" spans="1:9" ht="93.6">
      <c r="A2601" s="15" t="s">
        <v>3670</v>
      </c>
      <c r="B2601" s="8" t="s">
        <v>3712</v>
      </c>
      <c r="C2601" s="49" t="str">
        <f>HYPERLINK("https://catalog.archives.gov/search?q=USS%20Mississippi&amp;f.ancestorNaIds=581208","Log Books of the U.S.S. Mississippi, 1852-1855.")</f>
        <v>Log Books of the U.S.S. Mississippi, 1852-1855.</v>
      </c>
      <c r="D2601" s="11"/>
      <c r="E2601" s="11"/>
      <c r="F2601" s="12"/>
      <c r="G2601" s="60" t="str">
        <f t="shared" si="125"/>
        <v>National Oceanic and Atmospheric Administration (NOAA)</v>
      </c>
      <c r="H2601" s="13">
        <v>24</v>
      </c>
      <c r="I2601" s="14" t="s">
        <v>11</v>
      </c>
    </row>
    <row r="2602" spans="1:9" ht="93.6">
      <c r="A2602" s="15" t="s">
        <v>3670</v>
      </c>
      <c r="B2602" s="8" t="s">
        <v>3713</v>
      </c>
      <c r="C2602" s="49" t="str">
        <f>HYPERLINK("https://catalog.archives.gov/search?q=USS%20Lexington&amp;f.ancestorNaIds=581208","Log Books of the U.S.S. Lexington, 1853-1855.")</f>
        <v>Log Books of the U.S.S. Lexington, 1853-1855.</v>
      </c>
      <c r="D2602" s="11"/>
      <c r="E2602" s="11"/>
      <c r="F2602" s="12"/>
      <c r="G2602" s="60" t="str">
        <f t="shared" si="125"/>
        <v>National Oceanic and Atmospheric Administration (NOAA)</v>
      </c>
      <c r="H2602" s="13">
        <v>24</v>
      </c>
      <c r="I2602" s="14" t="s">
        <v>11</v>
      </c>
    </row>
    <row r="2603" spans="1:9" ht="93.6">
      <c r="A2603" s="15" t="s">
        <v>3670</v>
      </c>
      <c r="B2603" s="8" t="s">
        <v>3714</v>
      </c>
      <c r="C2603" s="49" t="str">
        <f>HYPERLINK("https://catalog.archives.gov/search?q=USS%20Saratoga&amp;f.ancestorNaIds=581208","Log Books of the U.S.S. Saratoga, 1852-1853.")</f>
        <v>Log Books of the U.S.S. Saratoga, 1852-1853.</v>
      </c>
      <c r="D2603" s="11"/>
      <c r="E2603" s="11"/>
      <c r="F2603" s="12"/>
      <c r="G2603" s="60" t="str">
        <f t="shared" si="125"/>
        <v>National Oceanic and Atmospheric Administration (NOAA)</v>
      </c>
      <c r="H2603" s="13">
        <v>24</v>
      </c>
      <c r="I2603" s="14" t="s">
        <v>11</v>
      </c>
    </row>
    <row r="2604" spans="1:9" ht="93.6">
      <c r="A2604" s="15" t="s">
        <v>3670</v>
      </c>
      <c r="B2604" s="8" t="s">
        <v>3715</v>
      </c>
      <c r="C2604" s="49" t="str">
        <f>HYPERLINK("https://catalog.archives.gov/search?q=USS%20Macedonian&amp;f.ancestorNaIds=581208","Log Books of the U.S.S. Macedonian, 1853-1855.")</f>
        <v>Log Books of the U.S.S. Macedonian, 1853-1855.</v>
      </c>
      <c r="D2604" s="11"/>
      <c r="E2604" s="11"/>
      <c r="F2604" s="12"/>
      <c r="G2604" s="60" t="str">
        <f t="shared" si="125"/>
        <v>National Oceanic and Atmospheric Administration (NOAA)</v>
      </c>
      <c r="H2604" s="13">
        <v>24</v>
      </c>
      <c r="I2604" s="14" t="s">
        <v>11</v>
      </c>
    </row>
    <row r="2605" spans="1:9" ht="93.6">
      <c r="A2605" s="15" t="s">
        <v>3670</v>
      </c>
      <c r="B2605" s="8" t="s">
        <v>3716</v>
      </c>
      <c r="C2605" s="49" t="str">
        <f>HYPERLINK("https://catalog.archives.gov/search?q=USS%20Vandalia&amp;f.ancestorNaIds=581208","Log Books of the U.S.S. Vandalia, 1853-1855.")</f>
        <v>Log Books of the U.S.S. Vandalia, 1853-1855.</v>
      </c>
      <c r="D2605" s="11"/>
      <c r="E2605" s="11"/>
      <c r="F2605" s="12"/>
      <c r="G2605" s="60" t="str">
        <f t="shared" si="125"/>
        <v>National Oceanic and Atmospheric Administration (NOAA)</v>
      </c>
      <c r="H2605" s="13">
        <v>24</v>
      </c>
      <c r="I2605" s="14" t="s">
        <v>11</v>
      </c>
    </row>
    <row r="2606" spans="1:9" ht="93.6">
      <c r="A2606" s="64" t="s">
        <v>3670</v>
      </c>
      <c r="B2606" s="8" t="s">
        <v>3717</v>
      </c>
      <c r="C2606" s="16" t="s">
        <v>3718</v>
      </c>
      <c r="D2606" s="11"/>
      <c r="E2606" s="11"/>
      <c r="F2606" s="12"/>
      <c r="G2606" s="60" t="str">
        <f t="shared" si="125"/>
        <v>National Oceanic and Atmospheric Administration (NOAA)</v>
      </c>
      <c r="H2606" s="13">
        <v>24</v>
      </c>
      <c r="I2606" s="14" t="s">
        <v>15</v>
      </c>
    </row>
    <row r="2607" spans="1:9" ht="93.6">
      <c r="A2607" s="15" t="s">
        <v>3670</v>
      </c>
      <c r="B2607" s="8" t="s">
        <v>3719</v>
      </c>
      <c r="C2607" s="49" t="str">
        <f>HYPERLINK("https://catalog.archives.gov/search?q=%22USS%20Supply%22&amp;f.ancestorNaIds=581208","Log Books of the U.S.S. Supply, 1852-1855.")</f>
        <v>Log Books of the U.S.S. Supply, 1852-1855.</v>
      </c>
      <c r="D2607" s="11"/>
      <c r="E2607" s="11"/>
      <c r="F2607" s="12"/>
      <c r="G2607" s="60" t="str">
        <f t="shared" si="125"/>
        <v>National Oceanic and Atmospheric Administration (NOAA)</v>
      </c>
      <c r="H2607" s="13">
        <v>24</v>
      </c>
      <c r="I2607" s="14" t="s">
        <v>11</v>
      </c>
    </row>
    <row r="2608" spans="1:9" ht="93.6">
      <c r="A2608" s="15" t="s">
        <v>3670</v>
      </c>
      <c r="B2608" s="8" t="s">
        <v>3720</v>
      </c>
      <c r="C2608" s="49" t="str">
        <f>HYPERLINK("https://catalog.archives.gov/search?q=%22USS%20Plymouth%22&amp;f.ancestorNaIds=581208","Log Books of the U.S.S. Plymouth, 1852-1855.")</f>
        <v>Log Books of the U.S.S. Plymouth, 1852-1855.</v>
      </c>
      <c r="D2608" s="11"/>
      <c r="E2608" s="11"/>
      <c r="F2608" s="12"/>
      <c r="G2608" s="60" t="str">
        <f t="shared" si="125"/>
        <v>National Oceanic and Atmospheric Administration (NOAA)</v>
      </c>
      <c r="H2608" s="13">
        <v>24</v>
      </c>
      <c r="I2608" s="14" t="s">
        <v>11</v>
      </c>
    </row>
    <row r="2609" spans="1:9" ht="93.6">
      <c r="A2609" s="15" t="s">
        <v>3670</v>
      </c>
      <c r="B2609" s="8" t="s">
        <v>3721</v>
      </c>
      <c r="C2609" s="49" t="str">
        <f>HYPERLINK("https://catalog.archives.gov/search?q=%22USS%20Powhatan%22&amp;f.ancestorNaIds=581208","Log Books of the U.S.S. Powhatan, 1852-1855.")</f>
        <v>Log Books of the U.S.S. Powhatan, 1852-1855.</v>
      </c>
      <c r="D2609" s="11"/>
      <c r="E2609" s="11"/>
      <c r="F2609" s="12"/>
      <c r="G2609" s="60" t="str">
        <f t="shared" si="125"/>
        <v>National Oceanic and Atmospheric Administration (NOAA)</v>
      </c>
      <c r="H2609" s="13">
        <v>24</v>
      </c>
      <c r="I2609" s="14" t="s">
        <v>11</v>
      </c>
    </row>
    <row r="2610" spans="1:9" ht="31.2">
      <c r="A2610" s="15">
        <v>301659</v>
      </c>
      <c r="B2610" s="8" t="s">
        <v>3722</v>
      </c>
      <c r="C2610" s="16" t="s">
        <v>3723</v>
      </c>
      <c r="D2610" s="11" t="s">
        <v>220</v>
      </c>
      <c r="E2610" s="12"/>
      <c r="F2610" s="12"/>
      <c r="G2610" s="12"/>
      <c r="H2610" s="13">
        <v>153</v>
      </c>
      <c r="I2610" s="14" t="s">
        <v>15</v>
      </c>
    </row>
    <row r="2611" spans="1:9" ht="31.2">
      <c r="A2611" s="15">
        <v>1476161</v>
      </c>
      <c r="B2611" s="8" t="s">
        <v>3724</v>
      </c>
      <c r="C2611" s="35" t="s">
        <v>3725</v>
      </c>
      <c r="D2611" s="11" t="s">
        <v>220</v>
      </c>
      <c r="E2611" s="17" t="s">
        <v>14</v>
      </c>
      <c r="F2611" s="12"/>
      <c r="G2611" s="12"/>
      <c r="H2611" s="13">
        <v>186</v>
      </c>
      <c r="I2611" s="23" t="s">
        <v>11</v>
      </c>
    </row>
    <row r="2612" spans="1:9" ht="31.2">
      <c r="A2612" s="15">
        <v>2791296</v>
      </c>
      <c r="B2612" s="8" t="s">
        <v>3726</v>
      </c>
      <c r="C2612" s="35" t="s">
        <v>3727</v>
      </c>
      <c r="D2612" s="11"/>
      <c r="E2612" s="11" t="str">
        <f t="shared" ref="E2612:E2614" si="126">HYPERLINK("https://search.ancestryinstitution.com/search/db.aspx?dbid=1276","Ancestry.com")</f>
        <v>Ancestry.com</v>
      </c>
      <c r="F2612" s="11" t="s">
        <v>43</v>
      </c>
      <c r="G2612" s="11"/>
      <c r="H2612" s="13">
        <v>29</v>
      </c>
      <c r="I2612" s="23" t="s">
        <v>11</v>
      </c>
    </row>
    <row r="2613" spans="1:9" ht="31.2">
      <c r="A2613" s="64">
        <v>2791274</v>
      </c>
      <c r="B2613" s="8" t="s">
        <v>3728</v>
      </c>
      <c r="C2613" s="35" t="s">
        <v>3729</v>
      </c>
      <c r="D2613" s="12"/>
      <c r="E2613" s="11" t="str">
        <f t="shared" si="126"/>
        <v>Ancestry.com</v>
      </c>
      <c r="F2613" s="18" t="s">
        <v>43</v>
      </c>
      <c r="G2613" s="11"/>
      <c r="H2613" s="13">
        <v>29</v>
      </c>
      <c r="I2613" s="14" t="s">
        <v>18</v>
      </c>
    </row>
    <row r="2614" spans="1:9" ht="31.2">
      <c r="A2614" s="64">
        <v>86339067</v>
      </c>
      <c r="B2614" s="8" t="s">
        <v>3730</v>
      </c>
      <c r="C2614" s="35" t="s">
        <v>3731</v>
      </c>
      <c r="D2614" s="11"/>
      <c r="E2614" s="11" t="str">
        <f t="shared" si="126"/>
        <v>Ancestry.com</v>
      </c>
      <c r="F2614" s="12"/>
      <c r="G2614" s="11"/>
      <c r="H2614" s="13">
        <v>29</v>
      </c>
      <c r="I2614" s="14" t="s">
        <v>18</v>
      </c>
    </row>
    <row r="2615" spans="1:9" ht="62.4">
      <c r="A2615" s="64">
        <v>2791273</v>
      </c>
      <c r="B2615" s="8" t="s">
        <v>3732</v>
      </c>
      <c r="C2615" s="35" t="s">
        <v>3733</v>
      </c>
      <c r="D2615" s="11"/>
      <c r="E2615" s="17" t="s">
        <v>14</v>
      </c>
      <c r="F2615" s="12"/>
      <c r="G2615" s="11"/>
      <c r="H2615" s="13">
        <v>29</v>
      </c>
      <c r="I2615" s="23" t="s">
        <v>18</v>
      </c>
    </row>
    <row r="2616" spans="1:9" ht="31.2">
      <c r="A2616" s="110" t="s">
        <v>332</v>
      </c>
      <c r="B2616" s="42" t="s">
        <v>3734</v>
      </c>
      <c r="C2616" s="111" t="s">
        <v>3735</v>
      </c>
      <c r="D2616" s="61"/>
      <c r="E2616" s="61" t="str">
        <f t="shared" ref="E2616:E2618" si="127">HYPERLINK("https://search.ancestryinstitution.com/search/db.aspx?dbid=1276","Ancestry.com")</f>
        <v>Ancestry.com</v>
      </c>
      <c r="F2616" s="61" t="s">
        <v>43</v>
      </c>
      <c r="G2616" s="61"/>
      <c r="H2616" s="46">
        <v>29</v>
      </c>
      <c r="I2616" s="47" t="s">
        <v>15</v>
      </c>
    </row>
    <row r="2617" spans="1:9" ht="31.2">
      <c r="A2617" s="15">
        <v>2791287</v>
      </c>
      <c r="B2617" s="8" t="s">
        <v>3736</v>
      </c>
      <c r="C2617" s="35" t="s">
        <v>3737</v>
      </c>
      <c r="D2617" s="11"/>
      <c r="E2617" s="11" t="str">
        <f t="shared" si="127"/>
        <v>Ancestry.com</v>
      </c>
      <c r="F2617" s="12"/>
      <c r="G2617" s="12"/>
      <c r="H2617" s="13">
        <v>29</v>
      </c>
      <c r="I2617" s="23" t="s">
        <v>18</v>
      </c>
    </row>
    <row r="2618" spans="1:9" ht="46.8">
      <c r="A2618" s="112">
        <v>231364448</v>
      </c>
      <c r="B2618" s="42" t="s">
        <v>3738</v>
      </c>
      <c r="C2618" s="113" t="s">
        <v>3739</v>
      </c>
      <c r="D2618" s="61"/>
      <c r="E2618" s="61" t="str">
        <f t="shared" si="127"/>
        <v>Ancestry.com</v>
      </c>
      <c r="F2618" s="61" t="str">
        <f>HYPERLINK("https://www.familysearch.org/search/catalog/results?count=20&amp;query=%2Bkeywords%3AT1164","FamilySearch.org")</f>
        <v>FamilySearch.org</v>
      </c>
      <c r="G2618" s="44"/>
      <c r="H2618" s="46">
        <v>29</v>
      </c>
      <c r="I2618" s="47" t="s">
        <v>11</v>
      </c>
    </row>
    <row r="2619" spans="1:9" ht="46.8">
      <c r="A2619" s="15">
        <v>1104361</v>
      </c>
      <c r="B2619" s="8" t="s">
        <v>3740</v>
      </c>
      <c r="C2619" s="35" t="s">
        <v>3741</v>
      </c>
      <c r="D2619" s="11" t="str">
        <f>HYPERLINK("https://www.fold3.com/title/96/mormon-battalion-pension-files","Fold3.com")</f>
        <v>Fold3.com</v>
      </c>
      <c r="E2619" s="12"/>
      <c r="F2619" s="11" t="s">
        <v>43</v>
      </c>
      <c r="G2619" s="12"/>
      <c r="H2619" s="13">
        <v>15</v>
      </c>
      <c r="I2619" s="23" t="s">
        <v>11</v>
      </c>
    </row>
    <row r="2620" spans="1:9" ht="15.6">
      <c r="A2620" s="15">
        <v>597821</v>
      </c>
      <c r="B2620" s="8" t="s">
        <v>3742</v>
      </c>
      <c r="C2620" s="35" t="s">
        <v>3743</v>
      </c>
      <c r="D2620" s="17" t="s">
        <v>220</v>
      </c>
      <c r="E2620" s="12"/>
      <c r="F2620" s="12"/>
      <c r="G2620" s="12"/>
      <c r="H2620" s="13">
        <v>341</v>
      </c>
      <c r="I2620" s="23" t="s">
        <v>18</v>
      </c>
    </row>
    <row r="2621" spans="1:9" ht="31.2">
      <c r="A2621" s="15" t="s">
        <v>3744</v>
      </c>
      <c r="B2621" s="8" t="s">
        <v>3745</v>
      </c>
      <c r="C2621" s="16" t="s">
        <v>3746</v>
      </c>
      <c r="D2621" s="12"/>
      <c r="E2621" s="17" t="s">
        <v>14</v>
      </c>
      <c r="F2621" s="114" t="s">
        <v>43</v>
      </c>
      <c r="G2621" s="12"/>
      <c r="H2621" s="13">
        <v>287</v>
      </c>
      <c r="I2621" s="14" t="s">
        <v>15</v>
      </c>
    </row>
    <row r="2622" spans="1:9" ht="46.8">
      <c r="A2622" s="64">
        <v>566647</v>
      </c>
      <c r="B2622" s="8" t="s">
        <v>3747</v>
      </c>
      <c r="C2622" s="16" t="s">
        <v>3748</v>
      </c>
      <c r="D2622" s="12"/>
      <c r="E2622" s="17" t="s">
        <v>14</v>
      </c>
      <c r="F2622" s="12"/>
      <c r="G2622" s="12"/>
      <c r="H2622" s="20">
        <v>49</v>
      </c>
      <c r="I2622" s="14" t="s">
        <v>15</v>
      </c>
    </row>
    <row r="2623" spans="1:9" ht="31.2">
      <c r="A2623" s="15">
        <v>202017</v>
      </c>
      <c r="B2623" s="8" t="s">
        <v>3749</v>
      </c>
      <c r="C2623" s="35" t="s">
        <v>3750</v>
      </c>
      <c r="D2623" s="11" t="str">
        <f>HYPERLINK("https://www.fold3.com/title/477/state-dept-records-russia","Fold3.com")</f>
        <v>Fold3.com</v>
      </c>
      <c r="E2623" s="12"/>
      <c r="F2623" s="12"/>
      <c r="G2623" s="12"/>
      <c r="H2623" s="13">
        <v>59</v>
      </c>
      <c r="I2623" s="23" t="s">
        <v>11</v>
      </c>
    </row>
    <row r="2624" spans="1:9" ht="15.6">
      <c r="A2624" s="15"/>
      <c r="B2624" s="8"/>
      <c r="C2624" s="35"/>
      <c r="D2624" s="11"/>
      <c r="E2624" s="12"/>
      <c r="F2624" s="12"/>
      <c r="G2624" s="12"/>
      <c r="H2624" s="13"/>
      <c r="I2624" s="23"/>
    </row>
    <row r="2625" spans="1:9" ht="15.6">
      <c r="A2625" s="15"/>
      <c r="B2625" s="8"/>
      <c r="C2625" s="35"/>
      <c r="D2625" s="11"/>
      <c r="E2625" s="12"/>
      <c r="F2625" s="12"/>
      <c r="G2625" s="12"/>
      <c r="H2625" s="13"/>
      <c r="I2625" s="23"/>
    </row>
    <row r="2626" spans="1:9" ht="15.6">
      <c r="A2626" s="15"/>
      <c r="B2626" s="8"/>
      <c r="C2626" s="35"/>
      <c r="D2626" s="11"/>
      <c r="E2626" s="12"/>
      <c r="F2626" s="12"/>
      <c r="G2626" s="12"/>
      <c r="H2626" s="13"/>
      <c r="I2626" s="23"/>
    </row>
    <row r="2627" spans="1:9" ht="15.6">
      <c r="A2627" s="15"/>
      <c r="B2627" s="8"/>
      <c r="C2627" s="35"/>
      <c r="D2627" s="11"/>
      <c r="E2627" s="12"/>
      <c r="F2627" s="12"/>
      <c r="G2627" s="12"/>
      <c r="H2627" s="13"/>
      <c r="I2627" s="23"/>
    </row>
    <row r="2628" spans="1:9" ht="15.6">
      <c r="A2628" s="15"/>
      <c r="B2628" s="8"/>
      <c r="C2628" s="35"/>
      <c r="D2628" s="11"/>
      <c r="E2628" s="12"/>
      <c r="F2628" s="12"/>
      <c r="G2628" s="12"/>
      <c r="H2628" s="13"/>
      <c r="I2628" s="23"/>
    </row>
    <row r="2629" spans="1:9" ht="15.6">
      <c r="A2629" s="15"/>
      <c r="B2629" s="8"/>
      <c r="C2629" s="35"/>
      <c r="D2629" s="11"/>
      <c r="E2629" s="12"/>
      <c r="F2629" s="12"/>
      <c r="G2629" s="12"/>
      <c r="H2629" s="13"/>
      <c r="I2629" s="23"/>
    </row>
    <row r="2630" spans="1:9" ht="15.6">
      <c r="A2630" s="15"/>
      <c r="B2630" s="8"/>
      <c r="C2630" s="35"/>
      <c r="D2630" s="11"/>
      <c r="E2630" s="12"/>
      <c r="F2630" s="12"/>
      <c r="G2630" s="12"/>
      <c r="H2630" s="13"/>
      <c r="I2630" s="23"/>
    </row>
    <row r="2631" spans="1:9" ht="15.6">
      <c r="A2631" s="15"/>
      <c r="B2631" s="8"/>
      <c r="C2631" s="35"/>
      <c r="D2631" s="11"/>
      <c r="E2631" s="12"/>
      <c r="F2631" s="12"/>
      <c r="G2631" s="12"/>
      <c r="H2631" s="13"/>
      <c r="I2631" s="23"/>
    </row>
    <row r="2632" spans="1:9" ht="15.6">
      <c r="A2632" s="15"/>
      <c r="B2632" s="8"/>
      <c r="C2632" s="35"/>
      <c r="D2632" s="11"/>
      <c r="E2632" s="12"/>
      <c r="F2632" s="12"/>
      <c r="G2632" s="12"/>
      <c r="H2632" s="13"/>
      <c r="I2632" s="23"/>
    </row>
    <row r="2633" spans="1:9" ht="15.6">
      <c r="A2633" s="15"/>
      <c r="B2633" s="8"/>
      <c r="C2633" s="35"/>
      <c r="D2633" s="11"/>
      <c r="E2633" s="12"/>
      <c r="F2633" s="12"/>
      <c r="G2633" s="12"/>
      <c r="H2633" s="13"/>
      <c r="I2633" s="23"/>
    </row>
    <row r="2634" spans="1:9" ht="15.6">
      <c r="A2634" s="15"/>
      <c r="B2634" s="8"/>
      <c r="C2634" s="35"/>
      <c r="D2634" s="11"/>
      <c r="E2634" s="12"/>
      <c r="F2634" s="12"/>
      <c r="G2634" s="12"/>
      <c r="H2634" s="13"/>
      <c r="I2634" s="23"/>
    </row>
    <row r="2635" spans="1:9" ht="15.6">
      <c r="A2635" s="15"/>
      <c r="B2635" s="8"/>
      <c r="C2635" s="35"/>
      <c r="D2635" s="11"/>
      <c r="E2635" s="12"/>
      <c r="F2635" s="12"/>
      <c r="G2635" s="12"/>
      <c r="H2635" s="13"/>
      <c r="I2635" s="23"/>
    </row>
    <row r="2636" spans="1:9" ht="15.6">
      <c r="A2636" s="15"/>
      <c r="B2636" s="8"/>
      <c r="C2636" s="35"/>
      <c r="D2636" s="11"/>
      <c r="E2636" s="12"/>
      <c r="F2636" s="12"/>
      <c r="G2636" s="12"/>
      <c r="H2636" s="13"/>
      <c r="I2636" s="23"/>
    </row>
    <row r="2637" spans="1:9" ht="15.6">
      <c r="A2637" s="15"/>
      <c r="B2637" s="8"/>
      <c r="C2637" s="35"/>
      <c r="D2637" s="11"/>
      <c r="E2637" s="12"/>
      <c r="F2637" s="12"/>
      <c r="G2637" s="12"/>
      <c r="H2637" s="13"/>
      <c r="I2637" s="23"/>
    </row>
    <row r="2638" spans="1:9" ht="15.6">
      <c r="A2638" s="15"/>
      <c r="B2638" s="8"/>
      <c r="C2638" s="35"/>
      <c r="D2638" s="11"/>
      <c r="E2638" s="12"/>
      <c r="F2638" s="12"/>
      <c r="G2638" s="12"/>
      <c r="H2638" s="13"/>
      <c r="I2638" s="23"/>
    </row>
    <row r="2639" spans="1:9" ht="15.6">
      <c r="A2639" s="15"/>
      <c r="B2639" s="8"/>
      <c r="C2639" s="35"/>
      <c r="D2639" s="11"/>
      <c r="E2639" s="12"/>
      <c r="F2639" s="12"/>
      <c r="G2639" s="12"/>
      <c r="H2639" s="13"/>
      <c r="I2639" s="23"/>
    </row>
    <row r="2640" spans="1:9" ht="15.6">
      <c r="A2640" s="15"/>
      <c r="B2640" s="8"/>
      <c r="C2640" s="35"/>
      <c r="D2640" s="11"/>
      <c r="E2640" s="12"/>
      <c r="F2640" s="12"/>
      <c r="G2640" s="12"/>
      <c r="H2640" s="13"/>
      <c r="I2640" s="23"/>
    </row>
    <row r="2641" spans="1:9" ht="15.6">
      <c r="A2641" s="15"/>
      <c r="B2641" s="8"/>
      <c r="C2641" s="35"/>
      <c r="D2641" s="11"/>
      <c r="E2641" s="12"/>
      <c r="F2641" s="12"/>
      <c r="G2641" s="12"/>
      <c r="H2641" s="13"/>
      <c r="I2641" s="23"/>
    </row>
    <row r="2642" spans="1:9" ht="15.6">
      <c r="A2642" s="15"/>
      <c r="B2642" s="8"/>
      <c r="C2642" s="35"/>
      <c r="D2642" s="11"/>
      <c r="E2642" s="12"/>
      <c r="F2642" s="12"/>
      <c r="G2642" s="12"/>
      <c r="H2642" s="13"/>
      <c r="I2642" s="23"/>
    </row>
    <row r="2643" spans="1:9" ht="15.6">
      <c r="A2643" s="15"/>
      <c r="B2643" s="8"/>
      <c r="C2643" s="35"/>
      <c r="D2643" s="11"/>
      <c r="E2643" s="12"/>
      <c r="F2643" s="12"/>
      <c r="G2643" s="12"/>
      <c r="H2643" s="13"/>
      <c r="I2643" s="23"/>
    </row>
    <row r="2644" spans="1:9" ht="15.6">
      <c r="A2644" s="15"/>
      <c r="B2644" s="8"/>
      <c r="C2644" s="35"/>
      <c r="D2644" s="11"/>
      <c r="E2644" s="12"/>
      <c r="F2644" s="12"/>
      <c r="G2644" s="12"/>
      <c r="H2644" s="13"/>
      <c r="I2644" s="23"/>
    </row>
  </sheetData>
  <autoFilter ref="A1:J2623"/>
  <customSheetViews>
    <customSheetView guid="{2CAA9B67-51AF-4E52-B477-7D99732A74DF}" filter="1" showAutoFilter="1">
      <pageMargins left="0.7" right="0.7" top="0.75" bottom="0.75" header="0.3" footer="0.3"/>
      <autoFilter ref="A1:J2603"/>
    </customSheetView>
    <customSheetView guid="{1FF68E80-5763-4C4D-9008-49D53AE131A8}" filter="1" showAutoFilter="1">
      <pageMargins left="0.7" right="0.7" top="0.75" bottom="0.75" header="0.3" footer="0.3"/>
      <autoFilter ref="A1:K2593"/>
    </customSheetView>
    <customSheetView guid="{C542A3B1-7CEB-42BD-9B8A-0883C1A570DB}" filter="1" showAutoFilter="1">
      <pageMargins left="0.7" right="0.7" top="0.75" bottom="0.75" header="0.3" footer="0.3"/>
      <autoFilter ref="A1:K2593"/>
    </customSheetView>
  </customSheetViews>
  <hyperlinks>
    <hyperlink ref="C2" r:id="rId1"/>
    <hyperlink ref="E3" r:id="rId2"/>
    <hyperlink ref="C4" r:id="rId3"/>
    <hyperlink ref="C5" r:id="rId4"/>
    <hyperlink ref="C6" r:id="rId5"/>
    <hyperlink ref="E6" r:id="rId6"/>
    <hyperlink ref="C7" r:id="rId7"/>
    <hyperlink ref="E7" r:id="rId8"/>
    <hyperlink ref="C8" r:id="rId9"/>
    <hyperlink ref="E8" r:id="rId10"/>
    <hyperlink ref="C9" r:id="rId11"/>
    <hyperlink ref="E9" r:id="rId12"/>
    <hyperlink ref="C10" r:id="rId13"/>
    <hyperlink ref="E10" r:id="rId14"/>
    <hyperlink ref="C11" r:id="rId15"/>
    <hyperlink ref="E11" r:id="rId16"/>
    <hyperlink ref="C12" r:id="rId17"/>
    <hyperlink ref="E12" r:id="rId18"/>
    <hyperlink ref="C13" r:id="rId19"/>
    <hyperlink ref="E13" r:id="rId20"/>
    <hyperlink ref="C14" r:id="rId21"/>
    <hyperlink ref="E14" r:id="rId22"/>
    <hyperlink ref="C15" r:id="rId23"/>
    <hyperlink ref="E15" r:id="rId24"/>
    <hyperlink ref="C16" r:id="rId25"/>
    <hyperlink ref="E16" r:id="rId26"/>
    <hyperlink ref="F16" r:id="rId27"/>
    <hyperlink ref="C17" r:id="rId28"/>
    <hyperlink ref="E17" r:id="rId29"/>
    <hyperlink ref="C18" r:id="rId30"/>
    <hyperlink ref="E18" r:id="rId31"/>
    <hyperlink ref="C19" r:id="rId32"/>
    <hyperlink ref="F19" r:id="rId33"/>
    <hyperlink ref="C20" r:id="rId34"/>
    <hyperlink ref="E20" r:id="rId35"/>
    <hyperlink ref="C21" r:id="rId36"/>
    <hyperlink ref="E21" r:id="rId37"/>
    <hyperlink ref="C22" r:id="rId38"/>
    <hyperlink ref="C23" r:id="rId39"/>
    <hyperlink ref="E23" r:id="rId40"/>
    <hyperlink ref="C24" r:id="rId41"/>
    <hyperlink ref="E24" r:id="rId42"/>
    <hyperlink ref="C25" r:id="rId43"/>
    <hyperlink ref="E25" r:id="rId44"/>
    <hyperlink ref="C26" r:id="rId45"/>
    <hyperlink ref="E26" r:id="rId46"/>
    <hyperlink ref="C27" r:id="rId47"/>
    <hyperlink ref="E27" r:id="rId48"/>
    <hyperlink ref="C28" r:id="rId49"/>
    <hyperlink ref="E28" r:id="rId50"/>
    <hyperlink ref="C29" r:id="rId51"/>
    <hyperlink ref="E29" r:id="rId52"/>
    <hyperlink ref="C30" r:id="rId53"/>
    <hyperlink ref="E30" r:id="rId54"/>
    <hyperlink ref="C31" r:id="rId55"/>
    <hyperlink ref="E31" r:id="rId56"/>
    <hyperlink ref="C32" r:id="rId57"/>
    <hyperlink ref="E32" r:id="rId58"/>
    <hyperlink ref="C33" r:id="rId59"/>
    <hyperlink ref="E33" r:id="rId60"/>
    <hyperlink ref="C34" r:id="rId61"/>
    <hyperlink ref="E34" r:id="rId62"/>
    <hyperlink ref="C35" r:id="rId63"/>
    <hyperlink ref="E35" r:id="rId64"/>
    <hyperlink ref="C36" r:id="rId65"/>
    <hyperlink ref="E36" r:id="rId66"/>
    <hyperlink ref="C37" r:id="rId67"/>
    <hyperlink ref="E37" r:id="rId68"/>
    <hyperlink ref="C38" r:id="rId69"/>
    <hyperlink ref="E38" r:id="rId70"/>
    <hyperlink ref="C39" r:id="rId71"/>
    <hyperlink ref="E39" r:id="rId72"/>
    <hyperlink ref="C40" r:id="rId73"/>
    <hyperlink ref="E40" r:id="rId74"/>
    <hyperlink ref="C41" r:id="rId75"/>
    <hyperlink ref="E41" r:id="rId76"/>
    <hyperlink ref="C42" r:id="rId77"/>
    <hyperlink ref="E42" r:id="rId78"/>
    <hyperlink ref="C43" r:id="rId79"/>
    <hyperlink ref="E43" r:id="rId80"/>
    <hyperlink ref="C44" r:id="rId81"/>
    <hyperlink ref="E44" r:id="rId82"/>
    <hyperlink ref="C45" r:id="rId83"/>
    <hyperlink ref="E45" r:id="rId84"/>
    <hyperlink ref="C46" r:id="rId85"/>
    <hyperlink ref="E46" r:id="rId86"/>
    <hyperlink ref="C47" r:id="rId87"/>
    <hyperlink ref="E47" r:id="rId88"/>
    <hyperlink ref="C48" r:id="rId89"/>
    <hyperlink ref="E48" r:id="rId90"/>
    <hyperlink ref="C49" r:id="rId91"/>
    <hyperlink ref="E49" r:id="rId92"/>
    <hyperlink ref="C50" r:id="rId93"/>
    <hyperlink ref="C51" r:id="rId94"/>
    <hyperlink ref="E51" r:id="rId95"/>
    <hyperlink ref="C52" r:id="rId96"/>
    <hyperlink ref="E52" r:id="rId97"/>
    <hyperlink ref="C53" r:id="rId98"/>
    <hyperlink ref="E53" r:id="rId99"/>
    <hyperlink ref="C54" r:id="rId100"/>
    <hyperlink ref="C55" r:id="rId101"/>
    <hyperlink ref="E55" r:id="rId102"/>
    <hyperlink ref="C56" r:id="rId103"/>
    <hyperlink ref="C57" r:id="rId104"/>
    <hyperlink ref="C58" r:id="rId105"/>
    <hyperlink ref="E58" r:id="rId106"/>
    <hyperlink ref="C59" r:id="rId107"/>
    <hyperlink ref="E59" r:id="rId108"/>
    <hyperlink ref="C60" r:id="rId109"/>
    <hyperlink ref="C61" r:id="rId110"/>
    <hyperlink ref="C62" r:id="rId111"/>
    <hyperlink ref="E62" r:id="rId112"/>
    <hyperlink ref="C63" r:id="rId113"/>
    <hyperlink ref="E63" r:id="rId114"/>
    <hyperlink ref="C64" r:id="rId115"/>
    <hyperlink ref="E64" r:id="rId116"/>
    <hyperlink ref="C65" r:id="rId117"/>
    <hyperlink ref="E65" r:id="rId118"/>
    <hyperlink ref="C66" r:id="rId119"/>
    <hyperlink ref="E66" r:id="rId120"/>
    <hyperlink ref="C67" r:id="rId121"/>
    <hyperlink ref="C68" r:id="rId122"/>
    <hyperlink ref="E68" r:id="rId123"/>
    <hyperlink ref="C69" r:id="rId124"/>
    <hyperlink ref="C70" r:id="rId125"/>
    <hyperlink ref="E70" r:id="rId126"/>
    <hyperlink ref="C71" r:id="rId127"/>
    <hyperlink ref="E71" r:id="rId128"/>
    <hyperlink ref="C72" r:id="rId129"/>
    <hyperlink ref="E72" r:id="rId130"/>
    <hyperlink ref="C73" r:id="rId131"/>
    <hyperlink ref="E73" r:id="rId132"/>
    <hyperlink ref="C74" r:id="rId133"/>
    <hyperlink ref="E74" r:id="rId134"/>
    <hyperlink ref="C75" r:id="rId135"/>
    <hyperlink ref="E75" r:id="rId136"/>
    <hyperlink ref="C76" r:id="rId137"/>
    <hyperlink ref="E76" r:id="rId138"/>
    <hyperlink ref="C77" r:id="rId139"/>
    <hyperlink ref="E77" r:id="rId140"/>
    <hyperlink ref="C78" r:id="rId141"/>
    <hyperlink ref="E78" r:id="rId142"/>
    <hyperlink ref="C79" r:id="rId143"/>
    <hyperlink ref="E79" r:id="rId144"/>
    <hyperlink ref="C80" r:id="rId145"/>
    <hyperlink ref="E80" r:id="rId146"/>
    <hyperlink ref="C81" r:id="rId147"/>
    <hyperlink ref="E81" r:id="rId148"/>
    <hyperlink ref="F81" r:id="rId149"/>
    <hyperlink ref="C82" r:id="rId150"/>
    <hyperlink ref="C83" r:id="rId151"/>
    <hyperlink ref="E83" r:id="rId152"/>
    <hyperlink ref="C84" r:id="rId153"/>
    <hyperlink ref="E84" r:id="rId154"/>
    <hyperlink ref="C85" r:id="rId155"/>
    <hyperlink ref="F85" r:id="rId156"/>
    <hyperlink ref="C86" r:id="rId157"/>
    <hyperlink ref="E86" r:id="rId158"/>
    <hyperlink ref="C87" r:id="rId159"/>
    <hyperlink ref="E87" r:id="rId160"/>
    <hyperlink ref="C88" r:id="rId161"/>
    <hyperlink ref="C89" r:id="rId162"/>
    <hyperlink ref="E89" r:id="rId163"/>
    <hyperlink ref="C90" r:id="rId164"/>
    <hyperlink ref="E90" r:id="rId165"/>
    <hyperlink ref="C91" r:id="rId166"/>
    <hyperlink ref="E91" r:id="rId167"/>
    <hyperlink ref="C92" r:id="rId168"/>
    <hyperlink ref="E92" r:id="rId169"/>
    <hyperlink ref="C93" r:id="rId170"/>
    <hyperlink ref="E93" r:id="rId171"/>
    <hyperlink ref="C94" r:id="rId172"/>
    <hyperlink ref="E94" r:id="rId173"/>
    <hyperlink ref="C95" r:id="rId174"/>
    <hyperlink ref="E95" r:id="rId175"/>
    <hyperlink ref="C96" r:id="rId176"/>
    <hyperlink ref="E96" r:id="rId177"/>
    <hyperlink ref="C97" r:id="rId178"/>
    <hyperlink ref="C98" r:id="rId179"/>
    <hyperlink ref="E98" r:id="rId180"/>
    <hyperlink ref="C99" r:id="rId181"/>
    <hyperlink ref="E99" r:id="rId182"/>
    <hyperlink ref="C100" r:id="rId183"/>
    <hyperlink ref="E100" r:id="rId184"/>
    <hyperlink ref="C101" r:id="rId185"/>
    <hyperlink ref="C102" r:id="rId186"/>
    <hyperlink ref="F103" r:id="rId187"/>
    <hyperlink ref="C104" r:id="rId188"/>
    <hyperlink ref="D104" r:id="rId189"/>
    <hyperlink ref="E104" r:id="rId190"/>
    <hyperlink ref="F104" r:id="rId191"/>
    <hyperlink ref="C105" r:id="rId192"/>
    <hyperlink ref="E105" r:id="rId193"/>
    <hyperlink ref="C106" r:id="rId194"/>
    <hyperlink ref="D106" r:id="rId195"/>
    <hyperlink ref="C107" r:id="rId196"/>
    <hyperlink ref="E107" r:id="rId197"/>
    <hyperlink ref="C108" r:id="rId198"/>
    <hyperlink ref="D108" r:id="rId199"/>
    <hyperlink ref="C109" r:id="rId200"/>
    <hyperlink ref="E109" r:id="rId201"/>
    <hyperlink ref="F109" r:id="rId202"/>
    <hyperlink ref="C110" r:id="rId203"/>
    <hyperlink ref="E110" r:id="rId204"/>
    <hyperlink ref="C111" r:id="rId205"/>
    <hyperlink ref="E111" r:id="rId206"/>
    <hyperlink ref="C112" r:id="rId207"/>
    <hyperlink ref="E112" r:id="rId208"/>
    <hyperlink ref="F112" r:id="rId209"/>
    <hyperlink ref="C113" r:id="rId210"/>
    <hyperlink ref="D113" r:id="rId211"/>
    <hyperlink ref="C114" r:id="rId212"/>
    <hyperlink ref="E114" r:id="rId213"/>
    <hyperlink ref="C115" r:id="rId214"/>
    <hyperlink ref="E115" r:id="rId215"/>
    <hyperlink ref="F115" r:id="rId216"/>
    <hyperlink ref="C116" r:id="rId217"/>
    <hyperlink ref="E116" r:id="rId218"/>
    <hyperlink ref="F116" r:id="rId219"/>
    <hyperlink ref="C117" r:id="rId220"/>
    <hyperlink ref="E117" r:id="rId221"/>
    <hyperlink ref="C118" r:id="rId222"/>
    <hyperlink ref="C119" r:id="rId223"/>
    <hyperlink ref="D119" r:id="rId224"/>
    <hyperlink ref="D120" r:id="rId225"/>
    <hyperlink ref="D121" r:id="rId226"/>
    <hyperlink ref="D122" r:id="rId227"/>
    <hyperlink ref="D123" r:id="rId228"/>
    <hyperlink ref="D124" r:id="rId229"/>
    <hyperlink ref="D125" r:id="rId230"/>
    <hyperlink ref="D126" r:id="rId231"/>
    <hyperlink ref="D127" r:id="rId232"/>
    <hyperlink ref="D128" r:id="rId233"/>
    <hyperlink ref="D129" r:id="rId234"/>
    <hyperlink ref="C130" r:id="rId235"/>
    <hyperlink ref="D130" r:id="rId236"/>
    <hyperlink ref="C131" r:id="rId237"/>
    <hyperlink ref="E131" r:id="rId238"/>
    <hyperlink ref="C132" r:id="rId239"/>
    <hyperlink ref="C133" r:id="rId240"/>
    <hyperlink ref="E133" r:id="rId241"/>
    <hyperlink ref="C134" r:id="rId242"/>
    <hyperlink ref="E134" r:id="rId243"/>
    <hyperlink ref="C135" r:id="rId244"/>
    <hyperlink ref="E135" r:id="rId245"/>
    <hyperlink ref="C136" r:id="rId246"/>
    <hyperlink ref="E136" r:id="rId247"/>
    <hyperlink ref="C137" r:id="rId248"/>
    <hyperlink ref="E137" r:id="rId249"/>
    <hyperlink ref="C138" r:id="rId250"/>
    <hyperlink ref="E138" r:id="rId251"/>
    <hyperlink ref="C139" r:id="rId252"/>
    <hyperlink ref="C140" r:id="rId253"/>
    <hyperlink ref="C141" r:id="rId254"/>
    <hyperlink ref="C142" r:id="rId255"/>
    <hyperlink ref="C143" r:id="rId256"/>
    <hyperlink ref="E143" r:id="rId257"/>
    <hyperlink ref="C144" r:id="rId258"/>
    <hyperlink ref="E144" r:id="rId259"/>
    <hyperlink ref="C145" r:id="rId260"/>
    <hyperlink ref="E145" r:id="rId261"/>
    <hyperlink ref="C146" r:id="rId262"/>
    <hyperlink ref="E146" r:id="rId263"/>
    <hyperlink ref="C147" r:id="rId264"/>
    <hyperlink ref="E147" r:id="rId265"/>
    <hyperlink ref="C148" r:id="rId266"/>
    <hyperlink ref="E148" r:id="rId267"/>
    <hyperlink ref="C149" r:id="rId268"/>
    <hyperlink ref="E149" r:id="rId269"/>
    <hyperlink ref="C150" r:id="rId270"/>
    <hyperlink ref="E150" r:id="rId271"/>
    <hyperlink ref="C151" r:id="rId272"/>
    <hyperlink ref="E151" r:id="rId273"/>
    <hyperlink ref="C152" r:id="rId274"/>
    <hyperlink ref="E152" r:id="rId275"/>
    <hyperlink ref="C153" r:id="rId276"/>
    <hyperlink ref="E153" r:id="rId277"/>
    <hyperlink ref="C154" r:id="rId278"/>
    <hyperlink ref="E154" r:id="rId279"/>
    <hyperlink ref="C155" r:id="rId280"/>
    <hyperlink ref="E155" r:id="rId281"/>
    <hyperlink ref="C156" r:id="rId282"/>
    <hyperlink ref="E156" r:id="rId283"/>
    <hyperlink ref="C157" r:id="rId284"/>
    <hyperlink ref="E157" r:id="rId285"/>
    <hyperlink ref="C158" r:id="rId286"/>
    <hyperlink ref="E158" r:id="rId287"/>
    <hyperlink ref="C159" r:id="rId288"/>
    <hyperlink ref="E159" r:id="rId289"/>
    <hyperlink ref="C160" r:id="rId290"/>
    <hyperlink ref="E160" r:id="rId291"/>
    <hyperlink ref="C161" r:id="rId292"/>
    <hyperlink ref="E161" r:id="rId293"/>
    <hyperlink ref="C162" r:id="rId294"/>
    <hyperlink ref="E162" r:id="rId295"/>
    <hyperlink ref="C166" r:id="rId296"/>
    <hyperlink ref="E166" r:id="rId297"/>
    <hyperlink ref="C167" r:id="rId298"/>
    <hyperlink ref="E167" r:id="rId299"/>
    <hyperlink ref="C168" r:id="rId300"/>
    <hyperlink ref="F168" r:id="rId301"/>
    <hyperlink ref="C173" r:id="rId302"/>
    <hyperlink ref="F173" r:id="rId303"/>
    <hyperlink ref="C174" r:id="rId304"/>
    <hyperlink ref="D174" r:id="rId305"/>
    <hyperlink ref="C175" r:id="rId306"/>
    <hyperlink ref="D175" r:id="rId307"/>
    <hyperlink ref="C176" r:id="rId308"/>
    <hyperlink ref="C177" r:id="rId309"/>
    <hyperlink ref="C179" r:id="rId310"/>
    <hyperlink ref="C180" r:id="rId311"/>
    <hyperlink ref="C181" r:id="rId312"/>
    <hyperlink ref="C182" r:id="rId313"/>
    <hyperlink ref="C183" r:id="rId314"/>
    <hyperlink ref="C184" r:id="rId315"/>
    <hyperlink ref="F184" r:id="rId316"/>
    <hyperlink ref="C185" r:id="rId317"/>
    <hyperlink ref="F185" r:id="rId318"/>
    <hyperlink ref="C186" r:id="rId319"/>
    <hyperlink ref="F186" r:id="rId320"/>
    <hyperlink ref="C187" r:id="rId321"/>
    <hyperlink ref="F187" r:id="rId322"/>
    <hyperlink ref="C188" r:id="rId323"/>
    <hyperlink ref="F188" r:id="rId324"/>
    <hyperlink ref="C189" r:id="rId325"/>
    <hyperlink ref="F189" r:id="rId326"/>
    <hyperlink ref="C190" r:id="rId327"/>
    <hyperlink ref="F190" r:id="rId328"/>
    <hyperlink ref="C191" r:id="rId329"/>
    <hyperlink ref="F191" r:id="rId330"/>
    <hyperlink ref="C192" r:id="rId331"/>
    <hyperlink ref="F192" r:id="rId332"/>
    <hyperlink ref="C193" r:id="rId333"/>
    <hyperlink ref="F193" r:id="rId334"/>
    <hyperlink ref="C194" r:id="rId335"/>
    <hyperlink ref="F194" r:id="rId336"/>
    <hyperlink ref="C195" r:id="rId337"/>
    <hyperlink ref="F195" r:id="rId338"/>
    <hyperlink ref="C196" r:id="rId339"/>
    <hyperlink ref="F196" r:id="rId340"/>
    <hyperlink ref="C197" r:id="rId341"/>
    <hyperlink ref="F197" r:id="rId342"/>
    <hyperlink ref="C198" r:id="rId343"/>
    <hyperlink ref="F198" r:id="rId344"/>
    <hyperlink ref="C199" r:id="rId345"/>
    <hyperlink ref="F199" r:id="rId346"/>
    <hyperlink ref="E200" r:id="rId347"/>
    <hyperlink ref="C201" r:id="rId348"/>
    <hyperlink ref="D201" r:id="rId349"/>
    <hyperlink ref="C203" r:id="rId350"/>
    <hyperlink ref="C204" r:id="rId351"/>
    <hyperlink ref="D204" r:id="rId352"/>
    <hyperlink ref="C205" r:id="rId353"/>
    <hyperlink ref="E205" r:id="rId354"/>
    <hyperlink ref="F205" r:id="rId355"/>
    <hyperlink ref="C206" r:id="rId356"/>
    <hyperlink ref="F206" r:id="rId357"/>
    <hyperlink ref="E207" r:id="rId358"/>
    <hyperlink ref="C208" r:id="rId359"/>
    <hyperlink ref="E208" r:id="rId360"/>
    <hyperlink ref="F208" r:id="rId361"/>
    <hyperlink ref="E209" r:id="rId362"/>
    <hyperlink ref="E210" r:id="rId363"/>
    <hyperlink ref="F210" r:id="rId364"/>
    <hyperlink ref="E211" r:id="rId365"/>
    <hyperlink ref="C212" r:id="rId366"/>
    <hyperlink ref="E212" r:id="rId367"/>
    <hyperlink ref="F212" r:id="rId368"/>
    <hyperlink ref="C213" r:id="rId369"/>
    <hyperlink ref="E213" r:id="rId370"/>
    <hyperlink ref="C214" r:id="rId371"/>
    <hyperlink ref="E214" r:id="rId372"/>
    <hyperlink ref="F215" r:id="rId373"/>
    <hyperlink ref="C216" r:id="rId374"/>
    <hyperlink ref="D216" r:id="rId375"/>
    <hyperlink ref="C217" r:id="rId376"/>
    <hyperlink ref="E217" r:id="rId377"/>
    <hyperlink ref="F217" r:id="rId378"/>
    <hyperlink ref="E218" r:id="rId379"/>
    <hyperlink ref="D219" r:id="rId380"/>
    <hyperlink ref="C220" r:id="rId381"/>
    <hyperlink ref="E220" r:id="rId382"/>
    <hyperlink ref="F220" r:id="rId383"/>
    <hyperlink ref="E221" r:id="rId384"/>
    <hyperlink ref="E222" r:id="rId385"/>
    <hyperlink ref="C223" r:id="rId386"/>
    <hyperlink ref="D223" r:id="rId387"/>
    <hyperlink ref="C224" r:id="rId388"/>
    <hyperlink ref="E224" r:id="rId389"/>
    <hyperlink ref="F224" r:id="rId390"/>
    <hyperlink ref="C225" r:id="rId391"/>
    <hyperlink ref="E225" r:id="rId392"/>
    <hyperlink ref="C226" r:id="rId393"/>
    <hyperlink ref="E226" r:id="rId394"/>
    <hyperlink ref="C227" r:id="rId395"/>
    <hyperlink ref="E227" r:id="rId396"/>
    <hyperlink ref="F227" r:id="rId397"/>
    <hyperlink ref="C228" r:id="rId398"/>
    <hyperlink ref="E228" r:id="rId399"/>
    <hyperlink ref="E229" r:id="rId400"/>
    <hyperlink ref="E230" r:id="rId401"/>
    <hyperlink ref="C231" r:id="rId402"/>
    <hyperlink ref="F231" r:id="rId403"/>
    <hyperlink ref="C232" r:id="rId404"/>
    <hyperlink ref="E232" r:id="rId405"/>
    <hyperlink ref="C233" r:id="rId406"/>
    <hyperlink ref="E233" r:id="rId407"/>
    <hyperlink ref="C234" r:id="rId408"/>
    <hyperlink ref="E234" r:id="rId409"/>
    <hyperlink ref="C235" r:id="rId410"/>
    <hyperlink ref="E235" r:id="rId411"/>
    <hyperlink ref="C236" r:id="rId412"/>
    <hyperlink ref="E236" r:id="rId413"/>
    <hyperlink ref="F237" r:id="rId414"/>
    <hyperlink ref="C238" r:id="rId415"/>
    <hyperlink ref="F238" r:id="rId416"/>
    <hyperlink ref="C239" r:id="rId417"/>
    <hyperlink ref="E239" r:id="rId418"/>
    <hyperlink ref="F239" r:id="rId419"/>
    <hyperlink ref="C240" r:id="rId420"/>
    <hyperlink ref="E240" r:id="rId421"/>
    <hyperlink ref="F240" r:id="rId422"/>
    <hyperlink ref="C241" r:id="rId423"/>
    <hyperlink ref="F241" r:id="rId424"/>
    <hyperlink ref="E242" r:id="rId425"/>
    <hyperlink ref="F242" r:id="rId426"/>
    <hyperlink ref="C243" r:id="rId427"/>
    <hyperlink ref="E243" r:id="rId428"/>
    <hyperlink ref="F243" r:id="rId429"/>
    <hyperlink ref="E244" r:id="rId430"/>
    <hyperlink ref="C245" r:id="rId431"/>
    <hyperlink ref="F245" r:id="rId432"/>
    <hyperlink ref="C246" r:id="rId433"/>
    <hyperlink ref="E246" r:id="rId434"/>
    <hyperlink ref="C247" r:id="rId435"/>
    <hyperlink ref="E247" r:id="rId436"/>
    <hyperlink ref="F247" r:id="rId437"/>
    <hyperlink ref="C248" r:id="rId438"/>
    <hyperlink ref="E248" r:id="rId439"/>
    <hyperlink ref="F248" r:id="rId440"/>
    <hyperlink ref="C249" r:id="rId441"/>
    <hyperlink ref="F249" r:id="rId442"/>
    <hyperlink ref="C250" r:id="rId443"/>
    <hyperlink ref="E250" r:id="rId444"/>
    <hyperlink ref="C251" r:id="rId445"/>
    <hyperlink ref="E251" r:id="rId446"/>
    <hyperlink ref="C252" r:id="rId447"/>
    <hyperlink ref="F252" r:id="rId448"/>
    <hyperlink ref="C253" r:id="rId449"/>
    <hyperlink ref="E253" r:id="rId450"/>
    <hyperlink ref="F253" r:id="rId451"/>
    <hyperlink ref="C254" r:id="rId452"/>
    <hyperlink ref="E254" r:id="rId453"/>
    <hyperlink ref="F254" r:id="rId454"/>
    <hyperlink ref="F255" r:id="rId455"/>
    <hyperlink ref="C256" r:id="rId456"/>
    <hyperlink ref="E256" r:id="rId457"/>
    <hyperlink ref="E257" r:id="rId458"/>
    <hyperlink ref="C258" r:id="rId459"/>
    <hyperlink ref="E258" r:id="rId460"/>
    <hyperlink ref="C259" r:id="rId461"/>
    <hyperlink ref="E259" r:id="rId462"/>
    <hyperlink ref="C260" r:id="rId463"/>
    <hyperlink ref="E260" r:id="rId464"/>
    <hyperlink ref="F260" r:id="rId465"/>
    <hyperlink ref="C261" r:id="rId466"/>
    <hyperlink ref="E261" r:id="rId467"/>
    <hyperlink ref="C262" r:id="rId468"/>
    <hyperlink ref="E262" r:id="rId469"/>
    <hyperlink ref="F262" r:id="rId470"/>
    <hyperlink ref="C263" r:id="rId471"/>
    <hyperlink ref="F263" r:id="rId472"/>
    <hyperlink ref="C264" r:id="rId473"/>
    <hyperlink ref="E264" r:id="rId474"/>
    <hyperlink ref="C265" r:id="rId475"/>
    <hyperlink ref="F265" r:id="rId476"/>
    <hyperlink ref="C266" r:id="rId477"/>
    <hyperlink ref="F266" r:id="rId478"/>
    <hyperlink ref="F267" r:id="rId479"/>
    <hyperlink ref="C268" r:id="rId480"/>
    <hyperlink ref="E268" r:id="rId481"/>
    <hyperlink ref="C269" r:id="rId482"/>
    <hyperlink ref="C270" r:id="rId483"/>
    <hyperlink ref="E270" r:id="rId484"/>
    <hyperlink ref="C271" r:id="rId485"/>
    <hyperlink ref="F271" r:id="rId486"/>
    <hyperlink ref="C272" r:id="rId487"/>
    <hyperlink ref="E272" r:id="rId488"/>
    <hyperlink ref="C273" r:id="rId489"/>
    <hyperlink ref="E273" r:id="rId490"/>
    <hyperlink ref="C275" r:id="rId491"/>
    <hyperlink ref="F275" r:id="rId492"/>
    <hyperlink ref="C276" r:id="rId493"/>
    <hyperlink ref="C277" r:id="rId494"/>
    <hyperlink ref="E277" r:id="rId495"/>
    <hyperlink ref="F277" r:id="rId496"/>
    <hyperlink ref="E278" r:id="rId497"/>
    <hyperlink ref="C279" r:id="rId498"/>
    <hyperlink ref="E279" r:id="rId499"/>
    <hyperlink ref="C280" r:id="rId500"/>
    <hyperlink ref="E280" r:id="rId501"/>
    <hyperlink ref="C281" r:id="rId502"/>
    <hyperlink ref="C282" r:id="rId503"/>
    <hyperlink ref="C283" r:id="rId504"/>
    <hyperlink ref="E283" r:id="rId505"/>
    <hyperlink ref="C284" r:id="rId506"/>
    <hyperlink ref="E284" r:id="rId507"/>
    <hyperlink ref="F284" r:id="rId508"/>
    <hyperlink ref="C285" r:id="rId509"/>
    <hyperlink ref="E285" r:id="rId510"/>
    <hyperlink ref="C286" r:id="rId511"/>
    <hyperlink ref="F286" r:id="rId512"/>
    <hyperlink ref="C287" r:id="rId513"/>
    <hyperlink ref="E287" r:id="rId514"/>
    <hyperlink ref="F287" r:id="rId515"/>
    <hyperlink ref="C288" r:id="rId516"/>
    <hyperlink ref="E288" r:id="rId517"/>
    <hyperlink ref="F288" r:id="rId518"/>
    <hyperlink ref="C289" r:id="rId519"/>
    <hyperlink ref="E289" r:id="rId520"/>
    <hyperlink ref="C290" r:id="rId521"/>
    <hyperlink ref="E290" r:id="rId522"/>
    <hyperlink ref="C291" r:id="rId523"/>
    <hyperlink ref="F291" r:id="rId524"/>
    <hyperlink ref="C292" r:id="rId525"/>
    <hyperlink ref="E292" r:id="rId526"/>
    <hyperlink ref="C293" r:id="rId527"/>
    <hyperlink ref="E293" r:id="rId528"/>
    <hyperlink ref="C294" r:id="rId529"/>
    <hyperlink ref="E294" r:id="rId530"/>
    <hyperlink ref="F294" r:id="rId531"/>
    <hyperlink ref="E295" r:id="rId532"/>
    <hyperlink ref="C296" r:id="rId533"/>
    <hyperlink ref="F296" r:id="rId534"/>
    <hyperlink ref="C297" r:id="rId535"/>
    <hyperlink ref="E297" r:id="rId536"/>
    <hyperlink ref="E298" r:id="rId537"/>
    <hyperlink ref="F298" r:id="rId538"/>
    <hyperlink ref="C299" r:id="rId539"/>
    <hyperlink ref="C300" r:id="rId540"/>
    <hyperlink ref="E300" r:id="rId541"/>
    <hyperlink ref="C302" r:id="rId542"/>
    <hyperlink ref="C303" r:id="rId543"/>
    <hyperlink ref="E303" r:id="rId544"/>
    <hyperlink ref="F303" r:id="rId545"/>
    <hyperlink ref="C305" r:id="rId546"/>
    <hyperlink ref="E305" r:id="rId547"/>
    <hyperlink ref="F305" r:id="rId548"/>
    <hyperlink ref="C306" r:id="rId549"/>
    <hyperlink ref="E306" r:id="rId550"/>
    <hyperlink ref="C307" r:id="rId551"/>
    <hyperlink ref="F307" r:id="rId552"/>
    <hyperlink ref="C310" r:id="rId553"/>
    <hyperlink ref="E310" r:id="rId554"/>
    <hyperlink ref="C311" r:id="rId555"/>
    <hyperlink ref="E311" r:id="rId556"/>
    <hyperlink ref="C312" r:id="rId557"/>
    <hyperlink ref="E312" r:id="rId558"/>
    <hyperlink ref="F312" r:id="rId559"/>
    <hyperlink ref="C313" r:id="rId560"/>
    <hyperlink ref="E313" r:id="rId561"/>
    <hyperlink ref="C314" r:id="rId562"/>
    <hyperlink ref="E314" r:id="rId563"/>
    <hyperlink ref="C315" r:id="rId564"/>
    <hyperlink ref="E315" r:id="rId565"/>
    <hyperlink ref="E316" r:id="rId566"/>
    <hyperlink ref="C317" r:id="rId567"/>
    <hyperlink ref="E317" r:id="rId568"/>
    <hyperlink ref="C318" r:id="rId569"/>
    <hyperlink ref="E318" r:id="rId570"/>
    <hyperlink ref="C319" r:id="rId571"/>
    <hyperlink ref="C320" r:id="rId572"/>
    <hyperlink ref="E320" r:id="rId573"/>
    <hyperlink ref="C321" r:id="rId574"/>
    <hyperlink ref="E321" r:id="rId575"/>
    <hyperlink ref="C322" r:id="rId576"/>
    <hyperlink ref="E322" r:id="rId577"/>
    <hyperlink ref="C323" r:id="rId578"/>
    <hyperlink ref="E323" r:id="rId579"/>
    <hyperlink ref="C324" r:id="rId580"/>
    <hyperlink ref="E324" r:id="rId581"/>
    <hyperlink ref="E325" r:id="rId582"/>
    <hyperlink ref="C327" r:id="rId583"/>
    <hyperlink ref="E327" r:id="rId584"/>
    <hyperlink ref="C328" r:id="rId585"/>
    <hyperlink ref="E328" r:id="rId586"/>
    <hyperlink ref="C329" r:id="rId587"/>
    <hyperlink ref="E329" r:id="rId588"/>
    <hyperlink ref="C330" r:id="rId589"/>
    <hyperlink ref="E330" r:id="rId590"/>
    <hyperlink ref="C331" r:id="rId591"/>
    <hyperlink ref="E331" r:id="rId592"/>
    <hyperlink ref="C332" r:id="rId593"/>
    <hyperlink ref="E332" r:id="rId594"/>
    <hyperlink ref="C333" r:id="rId595"/>
    <hyperlink ref="E333" r:id="rId596"/>
    <hyperlink ref="C336" r:id="rId597"/>
    <hyperlink ref="C337" r:id="rId598"/>
    <hyperlink ref="E337" r:id="rId599"/>
    <hyperlink ref="E338" r:id="rId600"/>
    <hyperlink ref="C339" r:id="rId601"/>
    <hyperlink ref="C341" r:id="rId602"/>
    <hyperlink ref="E341" r:id="rId603"/>
    <hyperlink ref="C342" r:id="rId604"/>
    <hyperlink ref="E344" r:id="rId605"/>
    <hyperlink ref="E347" r:id="rId606"/>
    <hyperlink ref="C348" r:id="rId607"/>
    <hyperlink ref="E348" r:id="rId608"/>
    <hyperlink ref="C349" r:id="rId609"/>
    <hyperlink ref="E349" r:id="rId610"/>
    <hyperlink ref="C350" r:id="rId611"/>
    <hyperlink ref="E350" r:id="rId612"/>
    <hyperlink ref="E355" r:id="rId613"/>
    <hyperlink ref="C357" r:id="rId614"/>
    <hyperlink ref="E357" r:id="rId615"/>
    <hyperlink ref="C358" r:id="rId616"/>
    <hyperlink ref="E358" r:id="rId617"/>
    <hyperlink ref="E359" r:id="rId618"/>
    <hyperlink ref="E362" r:id="rId619"/>
    <hyperlink ref="C363" r:id="rId620"/>
    <hyperlink ref="E363" r:id="rId621"/>
    <hyperlink ref="C364" r:id="rId622"/>
    <hyperlink ref="C365" r:id="rId623"/>
    <hyperlink ref="E365" r:id="rId624"/>
    <hyperlink ref="C367" r:id="rId625"/>
    <hyperlink ref="E367" r:id="rId626"/>
    <hyperlink ref="C368" r:id="rId627"/>
    <hyperlink ref="E368" r:id="rId628"/>
    <hyperlink ref="C369" r:id="rId629"/>
    <hyperlink ref="E369" r:id="rId630"/>
    <hyperlink ref="C370" r:id="rId631"/>
    <hyperlink ref="F370" r:id="rId632"/>
    <hyperlink ref="C371" r:id="rId633"/>
    <hyperlink ref="C372" r:id="rId634"/>
    <hyperlink ref="E372" r:id="rId635"/>
    <hyperlink ref="C373" r:id="rId636"/>
    <hyperlink ref="E373" r:id="rId637"/>
    <hyperlink ref="C374" r:id="rId638"/>
    <hyperlink ref="E374" r:id="rId639"/>
    <hyperlink ref="C375" r:id="rId640"/>
    <hyperlink ref="E375" r:id="rId641"/>
    <hyperlink ref="C376" r:id="rId642"/>
    <hyperlink ref="E376" r:id="rId643"/>
    <hyperlink ref="C377" r:id="rId644"/>
    <hyperlink ref="E377" r:id="rId645"/>
    <hyperlink ref="C378" r:id="rId646"/>
    <hyperlink ref="E378" r:id="rId647"/>
    <hyperlink ref="C379" r:id="rId648"/>
    <hyperlink ref="E379" r:id="rId649"/>
    <hyperlink ref="C380" r:id="rId650"/>
    <hyperlink ref="C381" r:id="rId651"/>
    <hyperlink ref="E381" r:id="rId652"/>
    <hyperlink ref="C382" r:id="rId653"/>
    <hyperlink ref="C383" r:id="rId654"/>
    <hyperlink ref="E383" r:id="rId655"/>
    <hyperlink ref="E384" r:id="rId656"/>
    <hyperlink ref="C385" r:id="rId657"/>
    <hyperlink ref="E385" r:id="rId658"/>
    <hyperlink ref="C387" r:id="rId659"/>
    <hyperlink ref="C388" r:id="rId660"/>
    <hyperlink ref="C389" r:id="rId661"/>
    <hyperlink ref="C390" r:id="rId662"/>
    <hyperlink ref="E390" r:id="rId663"/>
    <hyperlink ref="C391" r:id="rId664"/>
    <hyperlink ref="E391" r:id="rId665"/>
    <hyperlink ref="E392" r:id="rId666"/>
    <hyperlink ref="C394" r:id="rId667"/>
    <hyperlink ref="C395" r:id="rId668"/>
    <hyperlink ref="E395" r:id="rId669"/>
    <hyperlink ref="C396" r:id="rId670"/>
    <hyperlink ref="E396" r:id="rId671"/>
    <hyperlink ref="C397" r:id="rId672"/>
    <hyperlink ref="C398" r:id="rId673"/>
    <hyperlink ref="C399" r:id="rId674"/>
    <hyperlink ref="C400" r:id="rId675"/>
    <hyperlink ref="E400" r:id="rId676"/>
    <hyperlink ref="C401" r:id="rId677"/>
    <hyperlink ref="E401" r:id="rId678"/>
    <hyperlink ref="C402" r:id="rId679"/>
    <hyperlink ref="C403" r:id="rId680"/>
    <hyperlink ref="E403" r:id="rId681"/>
    <hyperlink ref="C404" r:id="rId682"/>
    <hyperlink ref="C405" r:id="rId683"/>
    <hyperlink ref="E405" r:id="rId684"/>
    <hyperlink ref="C406" r:id="rId685"/>
    <hyperlink ref="E406" r:id="rId686"/>
    <hyperlink ref="E407" r:id="rId687"/>
    <hyperlink ref="C408" r:id="rId688"/>
    <hyperlink ref="E408" r:id="rId689"/>
    <hyperlink ref="C409" r:id="rId690"/>
    <hyperlink ref="E409" r:id="rId691"/>
    <hyperlink ref="C410" r:id="rId692"/>
    <hyperlink ref="E410" r:id="rId693"/>
    <hyperlink ref="C411" r:id="rId694"/>
    <hyperlink ref="C412" r:id="rId695"/>
    <hyperlink ref="E412" r:id="rId696"/>
    <hyperlink ref="C413" r:id="rId697"/>
    <hyperlink ref="C414" r:id="rId698"/>
    <hyperlink ref="E414" r:id="rId699"/>
    <hyperlink ref="E416" r:id="rId700"/>
    <hyperlink ref="C417" r:id="rId701"/>
    <hyperlink ref="E417" r:id="rId702"/>
    <hyperlink ref="E418" r:id="rId703"/>
    <hyperlink ref="E419" r:id="rId704"/>
    <hyperlink ref="E420" r:id="rId705"/>
    <hyperlink ref="E421" r:id="rId706"/>
    <hyperlink ref="E422" r:id="rId707"/>
    <hyperlink ref="E423" r:id="rId708"/>
    <hyperlink ref="C424" r:id="rId709"/>
    <hyperlink ref="C425" r:id="rId710"/>
    <hyperlink ref="C426" r:id="rId711"/>
    <hyperlink ref="E426" r:id="rId712"/>
    <hyperlink ref="E427" r:id="rId713"/>
    <hyperlink ref="C428" r:id="rId714"/>
    <hyperlink ref="C429" r:id="rId715"/>
    <hyperlink ref="E429" r:id="rId716"/>
    <hyperlink ref="F429" r:id="rId717"/>
    <hyperlink ref="C430" r:id="rId718"/>
    <hyperlink ref="E430" r:id="rId719"/>
    <hyperlink ref="E432" r:id="rId720"/>
    <hyperlink ref="E434" r:id="rId721"/>
    <hyperlink ref="C435" r:id="rId722"/>
    <hyperlink ref="E435" r:id="rId723"/>
    <hyperlink ref="E436" r:id="rId724"/>
    <hyperlink ref="C437" r:id="rId725"/>
    <hyperlink ref="E437" r:id="rId726"/>
    <hyperlink ref="E439" r:id="rId727"/>
    <hyperlink ref="C440" r:id="rId728"/>
    <hyperlink ref="E440" r:id="rId729"/>
    <hyperlink ref="C442" r:id="rId730"/>
    <hyperlink ref="E442" r:id="rId731"/>
    <hyperlink ref="E443" r:id="rId732"/>
    <hyperlink ref="E444" r:id="rId733"/>
    <hyperlink ref="C446" r:id="rId734"/>
    <hyperlink ref="E446" r:id="rId735"/>
    <hyperlink ref="E447" r:id="rId736"/>
    <hyperlink ref="E448" r:id="rId737"/>
    <hyperlink ref="C449" r:id="rId738"/>
    <hyperlink ref="E450" r:id="rId739"/>
    <hyperlink ref="C451" r:id="rId740"/>
    <hyperlink ref="E451" r:id="rId741"/>
    <hyperlink ref="E452" r:id="rId742"/>
    <hyperlink ref="C453" r:id="rId743"/>
    <hyperlink ref="E453" r:id="rId744"/>
    <hyperlink ref="E454" r:id="rId745"/>
    <hyperlink ref="C455" r:id="rId746"/>
    <hyperlink ref="E456" r:id="rId747"/>
    <hyperlink ref="E457" r:id="rId748"/>
    <hyperlink ref="E458" r:id="rId749"/>
    <hyperlink ref="C459" r:id="rId750"/>
    <hyperlink ref="C460" r:id="rId751"/>
    <hyperlink ref="E461" r:id="rId752"/>
    <hyperlink ref="E462" r:id="rId753"/>
    <hyperlink ref="C463" r:id="rId754"/>
    <hyperlink ref="C464" r:id="rId755"/>
    <hyperlink ref="C465" r:id="rId756"/>
    <hyperlink ref="E465" r:id="rId757"/>
    <hyperlink ref="C466" r:id="rId758"/>
    <hyperlink ref="C467" r:id="rId759"/>
    <hyperlink ref="E467" r:id="rId760"/>
    <hyperlink ref="C468" r:id="rId761"/>
    <hyperlink ref="E468" r:id="rId762"/>
    <hyperlink ref="E469" r:id="rId763"/>
    <hyperlink ref="C470" r:id="rId764"/>
    <hyperlink ref="E470" r:id="rId765"/>
    <hyperlink ref="C471" r:id="rId766"/>
    <hyperlink ref="E471" r:id="rId767"/>
    <hyperlink ref="C472" r:id="rId768"/>
    <hyperlink ref="E472" r:id="rId769"/>
    <hyperlink ref="E473" r:id="rId770"/>
    <hyperlink ref="C474" r:id="rId771"/>
    <hyperlink ref="E474" r:id="rId772"/>
    <hyperlink ref="C475" r:id="rId773"/>
    <hyperlink ref="E475" r:id="rId774"/>
    <hyperlink ref="C476" r:id="rId775"/>
    <hyperlink ref="E476" r:id="rId776"/>
    <hyperlink ref="C477" r:id="rId777"/>
    <hyperlink ref="E477" r:id="rId778"/>
    <hyperlink ref="E478" r:id="rId779"/>
    <hyperlink ref="E479" r:id="rId780"/>
    <hyperlink ref="C480" r:id="rId781"/>
    <hyperlink ref="E480" r:id="rId782"/>
    <hyperlink ref="C481" r:id="rId783"/>
    <hyperlink ref="E481" r:id="rId784"/>
    <hyperlink ref="C482" r:id="rId785"/>
    <hyperlink ref="E482" r:id="rId786"/>
    <hyperlink ref="C483" r:id="rId787"/>
    <hyperlink ref="E483" r:id="rId788"/>
    <hyperlink ref="E484" r:id="rId789"/>
    <hyperlink ref="C485" r:id="rId790"/>
    <hyperlink ref="C486" r:id="rId791"/>
    <hyperlink ref="E486" r:id="rId792"/>
    <hyperlink ref="C487" r:id="rId793"/>
    <hyperlink ref="C488" r:id="rId794"/>
    <hyperlink ref="E488" r:id="rId795"/>
    <hyperlink ref="E490" r:id="rId796"/>
    <hyperlink ref="E492" r:id="rId797"/>
    <hyperlink ref="E493" r:id="rId798"/>
    <hyperlink ref="C494" r:id="rId799"/>
    <hyperlink ref="E494" r:id="rId800"/>
    <hyperlink ref="C495" r:id="rId801"/>
    <hyperlink ref="E495" r:id="rId802"/>
    <hyperlink ref="C497" r:id="rId803"/>
    <hyperlink ref="E499" r:id="rId804"/>
    <hyperlink ref="C501" r:id="rId805"/>
    <hyperlink ref="E501" r:id="rId806"/>
    <hyperlink ref="E502" r:id="rId807"/>
    <hyperlink ref="C503" r:id="rId808"/>
    <hyperlink ref="E503" r:id="rId809"/>
    <hyperlink ref="E504" r:id="rId810"/>
    <hyperlink ref="C506" r:id="rId811"/>
    <hyperlink ref="F506" r:id="rId812"/>
    <hyperlink ref="C507" r:id="rId813"/>
    <hyperlink ref="C509" r:id="rId814"/>
    <hyperlink ref="E509" r:id="rId815"/>
    <hyperlink ref="E510" r:id="rId816"/>
    <hyperlink ref="E511" r:id="rId817"/>
    <hyperlink ref="C512" r:id="rId818"/>
    <hyperlink ref="C513" r:id="rId819"/>
    <hyperlink ref="E513" r:id="rId820"/>
    <hyperlink ref="C514" r:id="rId821"/>
    <hyperlink ref="E514" r:id="rId822"/>
    <hyperlink ref="E515" r:id="rId823"/>
    <hyperlink ref="E516" r:id="rId824"/>
    <hyperlink ref="E517" r:id="rId825"/>
    <hyperlink ref="C518" r:id="rId826"/>
    <hyperlink ref="E518" r:id="rId827"/>
    <hyperlink ref="C519" r:id="rId828"/>
    <hyperlink ref="E519" r:id="rId829"/>
    <hyperlink ref="E520" r:id="rId830"/>
    <hyperlink ref="E521" r:id="rId831"/>
    <hyperlink ref="C525" r:id="rId832"/>
    <hyperlink ref="E527" r:id="rId833"/>
    <hyperlink ref="C528" r:id="rId834"/>
    <hyperlink ref="C529" r:id="rId835"/>
    <hyperlink ref="C530" r:id="rId836"/>
    <hyperlink ref="C531" r:id="rId837"/>
    <hyperlink ref="C532" r:id="rId838"/>
    <hyperlink ref="E532" r:id="rId839"/>
    <hyperlink ref="E533" r:id="rId840"/>
    <hyperlink ref="E534" r:id="rId841"/>
    <hyperlink ref="C535" r:id="rId842"/>
    <hyperlink ref="C536" r:id="rId843"/>
    <hyperlink ref="E536" r:id="rId844"/>
    <hyperlink ref="C537" r:id="rId845"/>
    <hyperlink ref="C538" r:id="rId846"/>
    <hyperlink ref="E538" r:id="rId847"/>
    <hyperlink ref="C539" r:id="rId848"/>
    <hyperlink ref="E539" r:id="rId849"/>
    <hyperlink ref="C540" r:id="rId850"/>
    <hyperlink ref="E540" r:id="rId851"/>
    <hyperlink ref="C541" r:id="rId852"/>
    <hyperlink ref="C542" r:id="rId853"/>
    <hyperlink ref="E543" r:id="rId854"/>
    <hyperlink ref="E544" r:id="rId855"/>
    <hyperlink ref="C546" r:id="rId856"/>
    <hyperlink ref="C547" r:id="rId857"/>
    <hyperlink ref="C548" r:id="rId858"/>
    <hyperlink ref="C553" r:id="rId859"/>
    <hyperlink ref="C554" r:id="rId860"/>
    <hyperlink ref="C560" r:id="rId861"/>
    <hyperlink ref="C563" r:id="rId862"/>
    <hyperlink ref="C564" r:id="rId863"/>
    <hyperlink ref="E564" r:id="rId864"/>
    <hyperlink ref="C566" r:id="rId865"/>
    <hyperlink ref="E567" r:id="rId866"/>
    <hyperlink ref="E569" r:id="rId867"/>
    <hyperlink ref="C572" r:id="rId868"/>
    <hyperlink ref="C574" r:id="rId869"/>
    <hyperlink ref="C576" r:id="rId870"/>
    <hyperlink ref="E576" r:id="rId871"/>
    <hyperlink ref="E577" r:id="rId872"/>
    <hyperlink ref="E578" r:id="rId873"/>
    <hyperlink ref="C579" r:id="rId874"/>
    <hyperlink ref="E579" r:id="rId875"/>
    <hyperlink ref="C580" r:id="rId876"/>
    <hyperlink ref="C581" r:id="rId877"/>
    <hyperlink ref="E581" r:id="rId878"/>
    <hyperlink ref="C582" r:id="rId879"/>
    <hyperlink ref="E582" r:id="rId880"/>
    <hyperlink ref="C583" r:id="rId881"/>
    <hyperlink ref="E583" r:id="rId882"/>
    <hyperlink ref="C584" r:id="rId883"/>
    <hyperlink ref="E584" r:id="rId884"/>
    <hyperlink ref="E585" r:id="rId885"/>
    <hyperlink ref="C586" r:id="rId886"/>
    <hyperlink ref="C587" r:id="rId887"/>
    <hyperlink ref="E587" r:id="rId888"/>
    <hyperlink ref="E588" r:id="rId889"/>
    <hyperlink ref="C589" r:id="rId890"/>
    <hyperlink ref="C590" r:id="rId891"/>
    <hyperlink ref="E590" r:id="rId892"/>
    <hyperlink ref="C591" r:id="rId893"/>
    <hyperlink ref="C592" r:id="rId894"/>
    <hyperlink ref="C593" r:id="rId895"/>
    <hyperlink ref="C594" r:id="rId896"/>
    <hyperlink ref="C595" r:id="rId897"/>
    <hyperlink ref="E595" r:id="rId898"/>
    <hyperlink ref="C596" r:id="rId899"/>
    <hyperlink ref="C597" r:id="rId900"/>
    <hyperlink ref="C599" r:id="rId901"/>
    <hyperlink ref="C600" r:id="rId902"/>
    <hyperlink ref="E601" r:id="rId903"/>
    <hyperlink ref="C602" r:id="rId904"/>
    <hyperlink ref="E602" r:id="rId905"/>
    <hyperlink ref="E603" r:id="rId906"/>
    <hyperlink ref="C604" r:id="rId907"/>
    <hyperlink ref="E604" r:id="rId908"/>
    <hyperlink ref="C605" r:id="rId909"/>
    <hyperlink ref="E605" r:id="rId910"/>
    <hyperlink ref="C606" r:id="rId911"/>
    <hyperlink ref="E606" r:id="rId912"/>
    <hyperlink ref="E607" r:id="rId913"/>
    <hyperlink ref="E608" r:id="rId914"/>
    <hyperlink ref="E609" r:id="rId915"/>
    <hyperlink ref="C610" r:id="rId916"/>
    <hyperlink ref="C611" r:id="rId917"/>
    <hyperlink ref="E611" r:id="rId918"/>
    <hyperlink ref="C612" r:id="rId919"/>
    <hyperlink ref="E612" r:id="rId920"/>
    <hyperlink ref="C613" r:id="rId921"/>
    <hyperlink ref="E613" r:id="rId922"/>
    <hyperlink ref="C614" r:id="rId923"/>
    <hyperlink ref="E614" r:id="rId924"/>
    <hyperlink ref="C615" r:id="rId925"/>
    <hyperlink ref="E615" r:id="rId926"/>
    <hyperlink ref="C616" r:id="rId927"/>
    <hyperlink ref="E616" r:id="rId928"/>
    <hyperlink ref="C617" r:id="rId929"/>
    <hyperlink ref="E617" r:id="rId930"/>
    <hyperlink ref="E618" r:id="rId931"/>
    <hyperlink ref="C619" r:id="rId932"/>
    <hyperlink ref="E619" r:id="rId933"/>
    <hyperlink ref="C620" r:id="rId934"/>
    <hyperlink ref="E620" r:id="rId935"/>
    <hyperlink ref="C621" r:id="rId936"/>
    <hyperlink ref="E621" r:id="rId937"/>
    <hyperlink ref="C622" r:id="rId938"/>
    <hyperlink ref="E622" r:id="rId939"/>
    <hyperlink ref="C623" r:id="rId940"/>
    <hyperlink ref="E623" r:id="rId941"/>
    <hyperlink ref="C624" r:id="rId942"/>
    <hyperlink ref="E624" r:id="rId943"/>
    <hyperlink ref="C626" r:id="rId944"/>
    <hyperlink ref="C627" r:id="rId945"/>
    <hyperlink ref="E628" r:id="rId946"/>
    <hyperlink ref="C629" r:id="rId947"/>
    <hyperlink ref="C630" r:id="rId948"/>
    <hyperlink ref="E630" r:id="rId949"/>
    <hyperlink ref="C632" r:id="rId950"/>
    <hyperlink ref="C633" r:id="rId951"/>
    <hyperlink ref="C635" r:id="rId952"/>
    <hyperlink ref="E635" r:id="rId953"/>
    <hyperlink ref="C636" r:id="rId954"/>
    <hyperlink ref="E636" r:id="rId955"/>
    <hyperlink ref="C637" r:id="rId956"/>
    <hyperlink ref="E637" r:id="rId957"/>
    <hyperlink ref="E638" r:id="rId958"/>
    <hyperlink ref="C640" r:id="rId959"/>
    <hyperlink ref="E642" r:id="rId960"/>
    <hyperlink ref="C643" r:id="rId961"/>
    <hyperlink ref="C644" r:id="rId962"/>
    <hyperlink ref="C646" r:id="rId963"/>
    <hyperlink ref="C647" r:id="rId964"/>
    <hyperlink ref="C648" r:id="rId965"/>
    <hyperlink ref="C650" r:id="rId966"/>
    <hyperlink ref="C652" r:id="rId967"/>
    <hyperlink ref="E652" r:id="rId968"/>
    <hyperlink ref="C653" r:id="rId969"/>
    <hyperlink ref="C654" r:id="rId970"/>
    <hyperlink ref="E655" r:id="rId971"/>
    <hyperlink ref="E656" r:id="rId972"/>
    <hyperlink ref="C657" r:id="rId973"/>
    <hyperlink ref="C660" r:id="rId974"/>
    <hyperlink ref="C661" r:id="rId975"/>
    <hyperlink ref="C662" r:id="rId976"/>
    <hyperlink ref="C663" r:id="rId977"/>
    <hyperlink ref="C664" r:id="rId978"/>
    <hyperlink ref="E664" r:id="rId979"/>
    <hyperlink ref="C665" r:id="rId980"/>
    <hyperlink ref="C668" r:id="rId981"/>
    <hyperlink ref="C670" r:id="rId982"/>
    <hyperlink ref="C671" r:id="rId983"/>
    <hyperlink ref="C672" r:id="rId984"/>
    <hyperlink ref="E673" r:id="rId985"/>
    <hyperlink ref="C675" r:id="rId986"/>
    <hyperlink ref="C676" r:id="rId987"/>
    <hyperlink ref="E676" r:id="rId988"/>
    <hyperlink ref="C677" r:id="rId989"/>
    <hyperlink ref="E677" r:id="rId990"/>
    <hyperlink ref="C678" r:id="rId991"/>
    <hyperlink ref="E678" r:id="rId992"/>
    <hyperlink ref="C679" r:id="rId993"/>
    <hyperlink ref="E679" r:id="rId994"/>
    <hyperlink ref="C680" r:id="rId995"/>
    <hyperlink ref="C681" r:id="rId996"/>
    <hyperlink ref="E681" r:id="rId997"/>
    <hyperlink ref="C682" r:id="rId998"/>
    <hyperlink ref="E682" r:id="rId999"/>
    <hyperlink ref="C683" r:id="rId1000"/>
    <hyperlink ref="E683" r:id="rId1001"/>
    <hyperlink ref="C684" r:id="rId1002"/>
    <hyperlink ref="E684" r:id="rId1003"/>
    <hyperlink ref="E685" r:id="rId1004"/>
    <hyperlink ref="C686" r:id="rId1005"/>
    <hyperlink ref="C687" r:id="rId1006"/>
    <hyperlink ref="C688" r:id="rId1007"/>
    <hyperlink ref="C690" r:id="rId1008"/>
    <hyperlink ref="C691" r:id="rId1009"/>
    <hyperlink ref="C692" r:id="rId1010"/>
    <hyperlink ref="C694" r:id="rId1011"/>
    <hyperlink ref="E695" r:id="rId1012"/>
    <hyperlink ref="C696" r:id="rId1013"/>
    <hyperlink ref="E698" r:id="rId1014"/>
    <hyperlink ref="C699" r:id="rId1015"/>
    <hyperlink ref="C701" r:id="rId1016"/>
    <hyperlink ref="C702" r:id="rId1017"/>
    <hyperlink ref="C703" r:id="rId1018"/>
    <hyperlink ref="E704" r:id="rId1019"/>
    <hyperlink ref="C705" r:id="rId1020"/>
    <hyperlink ref="C706" r:id="rId1021"/>
    <hyperlink ref="C710" r:id="rId1022"/>
    <hyperlink ref="C711" r:id="rId1023"/>
    <hyperlink ref="C713" r:id="rId1024"/>
    <hyperlink ref="C714" r:id="rId1025"/>
    <hyperlink ref="E714" r:id="rId1026"/>
    <hyperlink ref="C715" r:id="rId1027"/>
    <hyperlink ref="E715" r:id="rId1028"/>
    <hyperlink ref="C716" r:id="rId1029"/>
    <hyperlink ref="E716" r:id="rId1030"/>
    <hyperlink ref="C717" r:id="rId1031"/>
    <hyperlink ref="E717" r:id="rId1032"/>
    <hyperlink ref="E719" r:id="rId1033"/>
    <hyperlink ref="E720" r:id="rId1034"/>
    <hyperlink ref="C721" r:id="rId1035"/>
    <hyperlink ref="C722" r:id="rId1036"/>
    <hyperlink ref="C723" r:id="rId1037"/>
    <hyperlink ref="E726" r:id="rId1038"/>
    <hyperlink ref="E727" r:id="rId1039"/>
    <hyperlink ref="C728" r:id="rId1040"/>
    <hyperlink ref="E729" r:id="rId1041"/>
    <hyperlink ref="C730" r:id="rId1042"/>
    <hyperlink ref="C733" r:id="rId1043"/>
    <hyperlink ref="C734" r:id="rId1044"/>
    <hyperlink ref="C735" r:id="rId1045"/>
    <hyperlink ref="C736" r:id="rId1046"/>
    <hyperlink ref="C737" r:id="rId1047"/>
    <hyperlink ref="E738" r:id="rId1048"/>
    <hyperlink ref="C739" r:id="rId1049"/>
    <hyperlink ref="E739" r:id="rId1050"/>
    <hyperlink ref="E740" r:id="rId1051"/>
    <hyperlink ref="E741" r:id="rId1052"/>
    <hyperlink ref="C742" r:id="rId1053"/>
    <hyperlink ref="E744" r:id="rId1054"/>
    <hyperlink ref="C745" r:id="rId1055"/>
    <hyperlink ref="C747" r:id="rId1056"/>
    <hyperlink ref="E748" r:id="rId1057"/>
    <hyperlink ref="C749" r:id="rId1058"/>
    <hyperlink ref="E750" r:id="rId1059"/>
    <hyperlink ref="E751" r:id="rId1060"/>
    <hyperlink ref="C752" r:id="rId1061"/>
    <hyperlink ref="C753" r:id="rId1062"/>
    <hyperlink ref="C754" r:id="rId1063"/>
    <hyperlink ref="E755" r:id="rId1064"/>
    <hyperlink ref="E756" r:id="rId1065"/>
    <hyperlink ref="E757" r:id="rId1066"/>
    <hyperlink ref="C758" r:id="rId1067"/>
    <hyperlink ref="E758" r:id="rId1068"/>
    <hyperlink ref="C759" r:id="rId1069"/>
    <hyperlink ref="E759" r:id="rId1070"/>
    <hyperlink ref="C760" r:id="rId1071"/>
    <hyperlink ref="E760" r:id="rId1072"/>
    <hyperlink ref="C761" r:id="rId1073"/>
    <hyperlink ref="E761" r:id="rId1074"/>
    <hyperlink ref="E762" r:id="rId1075"/>
    <hyperlink ref="E764" r:id="rId1076"/>
    <hyperlink ref="E765" r:id="rId1077"/>
    <hyperlink ref="E766" r:id="rId1078"/>
    <hyperlink ref="C767" r:id="rId1079"/>
    <hyperlink ref="E768" r:id="rId1080"/>
    <hyperlink ref="E769" r:id="rId1081"/>
    <hyperlink ref="E770" r:id="rId1082"/>
    <hyperlink ref="C771" r:id="rId1083"/>
    <hyperlink ref="E771" r:id="rId1084"/>
    <hyperlink ref="C772" r:id="rId1085"/>
    <hyperlink ref="C773" r:id="rId1086"/>
    <hyperlink ref="F773" r:id="rId1087"/>
    <hyperlink ref="C774" r:id="rId1088"/>
    <hyperlink ref="E774" r:id="rId1089"/>
    <hyperlink ref="F774" r:id="rId1090"/>
    <hyperlink ref="E775" r:id="rId1091"/>
    <hyperlink ref="C776" r:id="rId1092"/>
    <hyperlink ref="D776" r:id="rId1093"/>
    <hyperlink ref="C777" r:id="rId1094"/>
    <hyperlink ref="C778" r:id="rId1095"/>
    <hyperlink ref="D778" r:id="rId1096"/>
    <hyperlink ref="C779" r:id="rId1097"/>
    <hyperlink ref="D779" r:id="rId1098"/>
    <hyperlink ref="E780" r:id="rId1099"/>
    <hyperlink ref="F780" r:id="rId1100"/>
    <hyperlink ref="E781" r:id="rId1101"/>
    <hyperlink ref="F781" r:id="rId1102"/>
    <hyperlink ref="E782" r:id="rId1103"/>
    <hyperlink ref="F782" r:id="rId1104"/>
    <hyperlink ref="C783" r:id="rId1105"/>
    <hyperlink ref="D784" r:id="rId1106"/>
    <hyperlink ref="C785" r:id="rId1107"/>
    <hyperlink ref="C786" r:id="rId1108"/>
    <hyperlink ref="E787" r:id="rId1109"/>
    <hyperlink ref="F787" r:id="rId1110"/>
    <hyperlink ref="E789" r:id="rId1111"/>
    <hyperlink ref="D790" r:id="rId1112"/>
    <hyperlink ref="C791" r:id="rId1113"/>
    <hyperlink ref="D791" r:id="rId1114"/>
    <hyperlink ref="D792" r:id="rId1115"/>
    <hyperlink ref="D793" r:id="rId1116"/>
    <hyperlink ref="E793" r:id="rId1117"/>
    <hyperlink ref="F793" r:id="rId1118"/>
    <hyperlink ref="E794" r:id="rId1119"/>
    <hyperlink ref="F794" r:id="rId1120"/>
    <hyperlink ref="E795" r:id="rId1121"/>
    <hyperlink ref="D796" r:id="rId1122"/>
    <hyperlink ref="E796" r:id="rId1123"/>
    <hyperlink ref="F796" r:id="rId1124"/>
    <hyperlink ref="D797" r:id="rId1125"/>
    <hyperlink ref="C798" r:id="rId1126"/>
    <hyperlink ref="D798" r:id="rId1127"/>
    <hyperlink ref="F798" r:id="rId1128"/>
    <hyperlink ref="E799" r:id="rId1129"/>
    <hyperlink ref="F799" r:id="rId1130"/>
    <hyperlink ref="E800" r:id="rId1131"/>
    <hyperlink ref="E801" r:id="rId1132"/>
    <hyperlink ref="F801" r:id="rId1133"/>
    <hyperlink ref="E802" r:id="rId1134"/>
    <hyperlink ref="C803" r:id="rId1135"/>
    <hyperlink ref="D803" r:id="rId1136"/>
    <hyperlink ref="E803" r:id="rId1137"/>
    <hyperlink ref="F803" r:id="rId1138"/>
    <hyperlink ref="E804" r:id="rId1139"/>
    <hyperlink ref="F804" r:id="rId1140"/>
    <hyperlink ref="F805" r:id="rId1141"/>
    <hyperlink ref="F806" r:id="rId1142"/>
    <hyperlink ref="E807" r:id="rId1143"/>
    <hyperlink ref="F808" r:id="rId1144"/>
    <hyperlink ref="C809" r:id="rId1145"/>
    <hyperlink ref="D809" r:id="rId1146"/>
    <hyperlink ref="E809" r:id="rId1147"/>
    <hyperlink ref="F809" r:id="rId1148"/>
    <hyperlink ref="C810" r:id="rId1149"/>
    <hyperlink ref="E810" r:id="rId1150"/>
    <hyperlink ref="F810" r:id="rId1151"/>
    <hyperlink ref="C811" r:id="rId1152"/>
    <hyperlink ref="D811" r:id="rId1153"/>
    <hyperlink ref="E811" r:id="rId1154"/>
    <hyperlink ref="F811" r:id="rId1155"/>
    <hyperlink ref="C812" r:id="rId1156"/>
    <hyperlink ref="D812" r:id="rId1157"/>
    <hyperlink ref="E812" r:id="rId1158"/>
    <hyperlink ref="F812" r:id="rId1159"/>
    <hyperlink ref="C813" r:id="rId1160"/>
    <hyperlink ref="E813" r:id="rId1161"/>
    <hyperlink ref="F813" r:id="rId1162"/>
    <hyperlink ref="E814" r:id="rId1163"/>
    <hyperlink ref="D815" r:id="rId1164"/>
    <hyperlink ref="C816" r:id="rId1165"/>
    <hyperlink ref="D816" r:id="rId1166"/>
    <hyperlink ref="E816" r:id="rId1167"/>
    <hyperlink ref="F816" r:id="rId1168"/>
    <hyperlink ref="E817" r:id="rId1169"/>
    <hyperlink ref="F817" r:id="rId1170"/>
    <hyperlink ref="D818" r:id="rId1171"/>
    <hyperlink ref="E818" r:id="rId1172"/>
    <hyperlink ref="F818" r:id="rId1173"/>
    <hyperlink ref="D819" r:id="rId1174"/>
    <hyperlink ref="E819" r:id="rId1175"/>
    <hyperlink ref="F819" r:id="rId1176"/>
    <hyperlink ref="E820" r:id="rId1177"/>
    <hyperlink ref="F820" r:id="rId1178"/>
    <hyperlink ref="E821" r:id="rId1179"/>
    <hyperlink ref="F821" r:id="rId1180"/>
    <hyperlink ref="D822" r:id="rId1181"/>
    <hyperlink ref="E822" r:id="rId1182"/>
    <hyperlink ref="F822" r:id="rId1183"/>
    <hyperlink ref="D823" r:id="rId1184" location="overview"/>
    <hyperlink ref="E823" r:id="rId1185"/>
    <hyperlink ref="F823" r:id="rId1186"/>
    <hyperlink ref="D824" r:id="rId1187"/>
    <hyperlink ref="E824" r:id="rId1188"/>
    <hyperlink ref="F824" r:id="rId1189"/>
    <hyperlink ref="D825" r:id="rId1190"/>
    <hyperlink ref="E825" r:id="rId1191"/>
    <hyperlink ref="F825" r:id="rId1192"/>
    <hyperlink ref="C826" r:id="rId1193"/>
    <hyperlink ref="D826" r:id="rId1194"/>
    <hyperlink ref="E826" r:id="rId1195"/>
    <hyperlink ref="F826" r:id="rId1196"/>
    <hyperlink ref="D827" r:id="rId1197"/>
    <hyperlink ref="E827" r:id="rId1198"/>
    <hyperlink ref="F827" r:id="rId1199"/>
    <hyperlink ref="C828" r:id="rId1200"/>
    <hyperlink ref="D828" r:id="rId1201"/>
    <hyperlink ref="E828" r:id="rId1202"/>
    <hyperlink ref="F828" r:id="rId1203"/>
    <hyperlink ref="C829" r:id="rId1204"/>
    <hyperlink ref="D829" r:id="rId1205"/>
    <hyperlink ref="E829" r:id="rId1206"/>
    <hyperlink ref="F829" r:id="rId1207"/>
    <hyperlink ref="D830" r:id="rId1208"/>
    <hyperlink ref="F831" r:id="rId1209"/>
    <hyperlink ref="D832" r:id="rId1210"/>
    <hyperlink ref="E832" r:id="rId1211"/>
    <hyperlink ref="F832" r:id="rId1212"/>
    <hyperlink ref="D833" r:id="rId1213"/>
    <hyperlink ref="F833" r:id="rId1214"/>
    <hyperlink ref="C834" r:id="rId1215"/>
    <hyperlink ref="D834" r:id="rId1216"/>
    <hyperlink ref="E835" r:id="rId1217"/>
    <hyperlink ref="F836" r:id="rId1218"/>
    <hyperlink ref="C837" r:id="rId1219"/>
    <hyperlink ref="D837" r:id="rId1220"/>
    <hyperlink ref="C838" r:id="rId1221"/>
    <hyperlink ref="E838" r:id="rId1222"/>
    <hyperlink ref="D839" r:id="rId1223"/>
    <hyperlink ref="C840" r:id="rId1224"/>
    <hyperlink ref="D840" r:id="rId1225"/>
    <hyperlink ref="C841" r:id="rId1226"/>
    <hyperlink ref="D841" r:id="rId1227" location="overview"/>
    <hyperlink ref="E841" r:id="rId1228"/>
    <hyperlink ref="F841" r:id="rId1229"/>
    <hyperlink ref="C842" r:id="rId1230"/>
    <hyperlink ref="D842" r:id="rId1231"/>
    <hyperlink ref="C843" r:id="rId1232"/>
    <hyperlink ref="D843" r:id="rId1233"/>
    <hyperlink ref="E843" r:id="rId1234"/>
    <hyperlink ref="F843" r:id="rId1235"/>
    <hyperlink ref="C844" r:id="rId1236"/>
    <hyperlink ref="D844" r:id="rId1237"/>
    <hyperlink ref="E844" r:id="rId1238"/>
    <hyperlink ref="F844" r:id="rId1239"/>
    <hyperlink ref="C845" r:id="rId1240"/>
    <hyperlink ref="E845" r:id="rId1241"/>
    <hyperlink ref="F845" r:id="rId1242"/>
    <hyperlink ref="C846" r:id="rId1243"/>
    <hyperlink ref="D846" r:id="rId1244"/>
    <hyperlink ref="E846" r:id="rId1245"/>
    <hyperlink ref="F846" r:id="rId1246"/>
    <hyperlink ref="C847" r:id="rId1247"/>
    <hyperlink ref="D847" r:id="rId1248"/>
    <hyperlink ref="E847" r:id="rId1249"/>
    <hyperlink ref="F847" r:id="rId1250"/>
    <hyperlink ref="C848" r:id="rId1251"/>
    <hyperlink ref="D848" r:id="rId1252"/>
    <hyperlink ref="E848" r:id="rId1253"/>
    <hyperlink ref="F848" r:id="rId1254"/>
    <hyperlink ref="C849" r:id="rId1255"/>
    <hyperlink ref="D849" r:id="rId1256"/>
    <hyperlink ref="E849" r:id="rId1257"/>
    <hyperlink ref="F849" r:id="rId1258"/>
    <hyperlink ref="C850" r:id="rId1259"/>
    <hyperlink ref="D850" r:id="rId1260"/>
    <hyperlink ref="E850" r:id="rId1261"/>
    <hyperlink ref="F850" r:id="rId1262"/>
    <hyperlink ref="C851" r:id="rId1263"/>
    <hyperlink ref="E851" r:id="rId1264"/>
    <hyperlink ref="F851" r:id="rId1265"/>
    <hyperlink ref="C852" r:id="rId1266"/>
    <hyperlink ref="D852" r:id="rId1267"/>
    <hyperlink ref="E852" r:id="rId1268"/>
    <hyperlink ref="F852" r:id="rId1269"/>
    <hyperlink ref="C853" r:id="rId1270"/>
    <hyperlink ref="E853" r:id="rId1271"/>
    <hyperlink ref="F853" r:id="rId1272"/>
    <hyperlink ref="E854" r:id="rId1273"/>
    <hyperlink ref="F854" r:id="rId1274"/>
    <hyperlink ref="F855" r:id="rId1275"/>
    <hyperlink ref="E856" r:id="rId1276"/>
    <hyperlink ref="F856" r:id="rId1277"/>
    <hyperlink ref="C857" r:id="rId1278"/>
    <hyperlink ref="E857" r:id="rId1279"/>
    <hyperlink ref="F857" r:id="rId1280"/>
    <hyperlink ref="E858" r:id="rId1281"/>
    <hyperlink ref="F858" r:id="rId1282"/>
    <hyperlink ref="G858" r:id="rId1283"/>
    <hyperlink ref="D859" r:id="rId1284"/>
    <hyperlink ref="E859" r:id="rId1285"/>
    <hyperlink ref="C860" r:id="rId1286"/>
    <hyperlink ref="E860" r:id="rId1287"/>
    <hyperlink ref="C861" r:id="rId1288"/>
    <hyperlink ref="D861" r:id="rId1289"/>
    <hyperlink ref="E861" r:id="rId1290"/>
    <hyperlink ref="F861" r:id="rId1291"/>
    <hyperlink ref="C862" r:id="rId1292"/>
    <hyperlink ref="E862" r:id="rId1293"/>
    <hyperlink ref="D863" r:id="rId1294"/>
    <hyperlink ref="C864" r:id="rId1295"/>
    <hyperlink ref="D864" r:id="rId1296"/>
    <hyperlink ref="D865" r:id="rId1297"/>
    <hyperlink ref="C866" r:id="rId1298"/>
    <hyperlink ref="D866" r:id="rId1299"/>
    <hyperlink ref="C867" r:id="rId1300"/>
    <hyperlink ref="D867" r:id="rId1301"/>
    <hyperlink ref="C868" r:id="rId1302"/>
    <hyperlink ref="D868" r:id="rId1303"/>
    <hyperlink ref="C869" r:id="rId1304"/>
    <hyperlink ref="D869" r:id="rId1305"/>
    <hyperlink ref="C870" r:id="rId1306"/>
    <hyperlink ref="D870" r:id="rId1307"/>
    <hyperlink ref="C871" r:id="rId1308"/>
    <hyperlink ref="D871" r:id="rId1309"/>
    <hyperlink ref="C872" r:id="rId1310"/>
    <hyperlink ref="D872" r:id="rId1311"/>
    <hyperlink ref="C873" r:id="rId1312"/>
    <hyperlink ref="D873" r:id="rId1313"/>
    <hyperlink ref="C874" r:id="rId1314"/>
    <hyperlink ref="D874" r:id="rId1315"/>
    <hyperlink ref="C875" r:id="rId1316"/>
    <hyperlink ref="D875" r:id="rId1317"/>
    <hyperlink ref="C876" r:id="rId1318"/>
    <hyperlink ref="D876" r:id="rId1319"/>
    <hyperlink ref="C877" r:id="rId1320"/>
    <hyperlink ref="D877" r:id="rId1321"/>
    <hyperlink ref="C878" r:id="rId1322"/>
    <hyperlink ref="D878" r:id="rId1323"/>
    <hyperlink ref="C879" r:id="rId1324"/>
    <hyperlink ref="D879" r:id="rId1325"/>
    <hyperlink ref="D880" r:id="rId1326"/>
    <hyperlink ref="C881" r:id="rId1327"/>
    <hyperlink ref="D881" r:id="rId1328"/>
    <hyperlink ref="D882" r:id="rId1329"/>
    <hyperlink ref="C883" r:id="rId1330"/>
    <hyperlink ref="D883" r:id="rId1331"/>
    <hyperlink ref="D884" r:id="rId1332"/>
    <hyperlink ref="C885" r:id="rId1333"/>
    <hyperlink ref="D885" r:id="rId1334"/>
    <hyperlink ref="C886" r:id="rId1335"/>
    <hyperlink ref="D886" r:id="rId1336"/>
    <hyperlink ref="F887" r:id="rId1337"/>
    <hyperlink ref="E888" r:id="rId1338"/>
    <hyperlink ref="E889" r:id="rId1339"/>
    <hyperlink ref="E890" r:id="rId1340"/>
    <hyperlink ref="F890" r:id="rId1341"/>
    <hyperlink ref="E891" r:id="rId1342"/>
    <hyperlink ref="E892" r:id="rId1343"/>
    <hyperlink ref="F892" r:id="rId1344"/>
    <hyperlink ref="C893" r:id="rId1345"/>
    <hyperlink ref="E893" r:id="rId1346"/>
    <hyperlink ref="E894" r:id="rId1347"/>
    <hyperlink ref="F894" r:id="rId1348"/>
    <hyperlink ref="D895" r:id="rId1349"/>
    <hyperlink ref="C896" r:id="rId1350"/>
    <hyperlink ref="D896" r:id="rId1351"/>
    <hyperlink ref="E896" r:id="rId1352"/>
    <hyperlink ref="F896" r:id="rId1353"/>
    <hyperlink ref="E897" r:id="rId1354"/>
    <hyperlink ref="F897" r:id="rId1355"/>
    <hyperlink ref="C898" r:id="rId1356"/>
    <hyperlink ref="D898" r:id="rId1357"/>
    <hyperlink ref="F898" r:id="rId1358"/>
    <hyperlink ref="E899" r:id="rId1359"/>
    <hyperlink ref="C900" r:id="rId1360"/>
    <hyperlink ref="D900" r:id="rId1361"/>
    <hyperlink ref="D901" r:id="rId1362"/>
    <hyperlink ref="E901" r:id="rId1363"/>
    <hyperlink ref="C902" r:id="rId1364"/>
    <hyperlink ref="D902" r:id="rId1365"/>
    <hyperlink ref="D903" r:id="rId1366"/>
    <hyperlink ref="E903" r:id="rId1367"/>
    <hyperlink ref="F903" r:id="rId1368"/>
    <hyperlink ref="D904" r:id="rId1369"/>
    <hyperlink ref="E904" r:id="rId1370"/>
    <hyperlink ref="F904" r:id="rId1371"/>
    <hyperlink ref="C905" r:id="rId1372"/>
    <hyperlink ref="E905" r:id="rId1373"/>
    <hyperlink ref="C906" r:id="rId1374"/>
    <hyperlink ref="D906" r:id="rId1375"/>
    <hyperlink ref="D907" r:id="rId1376"/>
    <hyperlink ref="E907" r:id="rId1377"/>
    <hyperlink ref="C908" r:id="rId1378"/>
    <hyperlink ref="D908" r:id="rId1379"/>
    <hyperlink ref="E908" r:id="rId1380"/>
    <hyperlink ref="D909" r:id="rId1381"/>
    <hyperlink ref="E909" r:id="rId1382"/>
    <hyperlink ref="E910" r:id="rId1383"/>
    <hyperlink ref="F910" r:id="rId1384"/>
    <hyperlink ref="E911" r:id="rId1385"/>
    <hyperlink ref="E912" r:id="rId1386"/>
    <hyperlink ref="C913" r:id="rId1387"/>
    <hyperlink ref="E913" r:id="rId1388"/>
    <hyperlink ref="F913" r:id="rId1389"/>
    <hyperlink ref="E914" r:id="rId1390"/>
    <hyperlink ref="F914" r:id="rId1391"/>
    <hyperlink ref="E915" r:id="rId1392"/>
    <hyperlink ref="E916" r:id="rId1393"/>
    <hyperlink ref="F917" r:id="rId1394"/>
    <hyperlink ref="E918" r:id="rId1395"/>
    <hyperlink ref="F919" r:id="rId1396"/>
    <hyperlink ref="E920" r:id="rId1397"/>
    <hyperlink ref="F920" r:id="rId1398"/>
    <hyperlink ref="E921" r:id="rId1399"/>
    <hyperlink ref="F921" r:id="rId1400"/>
    <hyperlink ref="E922" r:id="rId1401"/>
    <hyperlink ref="F922" r:id="rId1402"/>
    <hyperlink ref="E923" r:id="rId1403"/>
    <hyperlink ref="F923" r:id="rId1404"/>
    <hyperlink ref="E924" r:id="rId1405"/>
    <hyperlink ref="F924" r:id="rId1406"/>
    <hyperlink ref="E925" r:id="rId1407"/>
    <hyperlink ref="F925" r:id="rId1408"/>
    <hyperlink ref="E926" r:id="rId1409"/>
    <hyperlink ref="F926" r:id="rId1410"/>
    <hyperlink ref="E927" r:id="rId1411"/>
    <hyperlink ref="F927" r:id="rId1412"/>
    <hyperlink ref="E928" r:id="rId1413"/>
    <hyperlink ref="F928" r:id="rId1414"/>
    <hyperlink ref="E929" r:id="rId1415"/>
    <hyperlink ref="F929" r:id="rId1416"/>
    <hyperlink ref="E930" r:id="rId1417"/>
    <hyperlink ref="F930" r:id="rId1418"/>
    <hyperlink ref="E931" r:id="rId1419"/>
    <hyperlink ref="F931" r:id="rId1420"/>
    <hyperlink ref="E932" r:id="rId1421"/>
    <hyperlink ref="F932" r:id="rId1422"/>
    <hyperlink ref="E933" r:id="rId1423"/>
    <hyperlink ref="F933" r:id="rId1424"/>
    <hyperlink ref="E934" r:id="rId1425"/>
    <hyperlink ref="F934" r:id="rId1426"/>
    <hyperlink ref="E935" r:id="rId1427"/>
    <hyperlink ref="F935" r:id="rId1428"/>
    <hyperlink ref="E936" r:id="rId1429"/>
    <hyperlink ref="F936" r:id="rId1430"/>
    <hyperlink ref="E937" r:id="rId1431"/>
    <hyperlink ref="F937" r:id="rId1432"/>
    <hyperlink ref="E938" r:id="rId1433"/>
    <hyperlink ref="F938" r:id="rId1434"/>
    <hyperlink ref="E939" r:id="rId1435"/>
    <hyperlink ref="F939" r:id="rId1436"/>
    <hyperlink ref="E940" r:id="rId1437"/>
    <hyperlink ref="F940" r:id="rId1438"/>
    <hyperlink ref="E941" r:id="rId1439"/>
    <hyperlink ref="F941" r:id="rId1440"/>
    <hyperlink ref="E942" r:id="rId1441"/>
    <hyperlink ref="F942" r:id="rId1442"/>
    <hyperlink ref="E943" r:id="rId1443"/>
    <hyperlink ref="F943" r:id="rId1444"/>
    <hyperlink ref="E944" r:id="rId1445"/>
    <hyperlink ref="F944" r:id="rId1446"/>
    <hyperlink ref="E945" r:id="rId1447"/>
    <hyperlink ref="F945" r:id="rId1448"/>
    <hyperlink ref="E946" r:id="rId1449"/>
    <hyperlink ref="F946" r:id="rId1450"/>
    <hyperlink ref="D947" r:id="rId1451"/>
    <hyperlink ref="E947" r:id="rId1452"/>
    <hyperlink ref="F947" r:id="rId1453"/>
    <hyperlink ref="E948" r:id="rId1454"/>
    <hyperlink ref="F948" r:id="rId1455"/>
    <hyperlink ref="E949" r:id="rId1456"/>
    <hyperlink ref="F949" r:id="rId1457"/>
    <hyperlink ref="E950" r:id="rId1458"/>
    <hyperlink ref="F950" r:id="rId1459"/>
    <hyperlink ref="E951" r:id="rId1460"/>
    <hyperlink ref="F951" r:id="rId1461"/>
    <hyperlink ref="E952" r:id="rId1462"/>
    <hyperlink ref="F952" r:id="rId1463"/>
    <hyperlink ref="E953" r:id="rId1464"/>
    <hyperlink ref="F953" r:id="rId1465"/>
    <hyperlink ref="D954" r:id="rId1466"/>
    <hyperlink ref="F955" r:id="rId1467"/>
    <hyperlink ref="F956" r:id="rId1468"/>
    <hyperlink ref="F957" r:id="rId1469"/>
    <hyperlink ref="C958" r:id="rId1470"/>
    <hyperlink ref="D958" r:id="rId1471"/>
    <hyperlink ref="E958" r:id="rId1472"/>
    <hyperlink ref="F958" r:id="rId1473"/>
    <hyperlink ref="F959" r:id="rId1474"/>
    <hyperlink ref="F960" r:id="rId1475"/>
    <hyperlink ref="E961" r:id="rId1476"/>
    <hyperlink ref="F961" r:id="rId1477"/>
    <hyperlink ref="F962" r:id="rId1478"/>
    <hyperlink ref="F963" r:id="rId1479"/>
    <hyperlink ref="F964" r:id="rId1480"/>
    <hyperlink ref="E965" r:id="rId1481"/>
    <hyperlink ref="D966" r:id="rId1482"/>
    <hyperlink ref="C967" r:id="rId1483"/>
    <hyperlink ref="D967" r:id="rId1484"/>
    <hyperlink ref="E967" r:id="rId1485"/>
    <hyperlink ref="C968" r:id="rId1486"/>
    <hyperlink ref="E968" r:id="rId1487"/>
    <hyperlink ref="F969" r:id="rId1488"/>
    <hyperlink ref="F970" r:id="rId1489"/>
    <hyperlink ref="E971" r:id="rId1490"/>
    <hyperlink ref="E972" r:id="rId1491"/>
    <hyperlink ref="F973" r:id="rId1492"/>
    <hyperlink ref="C974" r:id="rId1493"/>
    <hyperlink ref="D974" r:id="rId1494"/>
    <hyperlink ref="D975" r:id="rId1495"/>
    <hyperlink ref="E975" r:id="rId1496"/>
    <hyperlink ref="D976" r:id="rId1497"/>
    <hyperlink ref="E976" r:id="rId1498"/>
    <hyperlink ref="F976" r:id="rId1499"/>
    <hyperlink ref="D977" r:id="rId1500"/>
    <hyperlink ref="D978" r:id="rId1501"/>
    <hyperlink ref="D979" r:id="rId1502"/>
    <hyperlink ref="D980" r:id="rId1503"/>
    <hyperlink ref="F981" r:id="rId1504"/>
    <hyperlink ref="C982" r:id="rId1505"/>
    <hyperlink ref="D982" r:id="rId1506"/>
    <hyperlink ref="E982" r:id="rId1507"/>
    <hyperlink ref="F982" r:id="rId1508"/>
    <hyperlink ref="C983" r:id="rId1509"/>
    <hyperlink ref="D983" r:id="rId1510"/>
    <hyperlink ref="E983" r:id="rId1511"/>
    <hyperlink ref="C984" r:id="rId1512"/>
    <hyperlink ref="E984" r:id="rId1513"/>
    <hyperlink ref="F984" r:id="rId1514"/>
    <hyperlink ref="E985" r:id="rId1515"/>
    <hyperlink ref="D986" r:id="rId1516"/>
    <hyperlink ref="C987" r:id="rId1517"/>
    <hyperlink ref="D987" r:id="rId1518"/>
    <hyperlink ref="E987" r:id="rId1519"/>
    <hyperlink ref="E988" r:id="rId1520"/>
    <hyperlink ref="E989" r:id="rId1521"/>
    <hyperlink ref="F990" r:id="rId1522"/>
    <hyperlink ref="F991" r:id="rId1523"/>
    <hyperlink ref="D992" r:id="rId1524"/>
    <hyperlink ref="D993" r:id="rId1525"/>
    <hyperlink ref="D994" r:id="rId1526"/>
    <hyperlink ref="F996" r:id="rId1527"/>
    <hyperlink ref="F997" r:id="rId1528"/>
    <hyperlink ref="E998" r:id="rId1529"/>
    <hyperlink ref="D999" r:id="rId1530"/>
    <hyperlink ref="E1000" r:id="rId1531"/>
    <hyperlink ref="D1001" r:id="rId1532"/>
    <hyperlink ref="F1002" r:id="rId1533"/>
    <hyperlink ref="F1003" r:id="rId1534"/>
    <hyperlink ref="C1004" r:id="rId1535"/>
    <hyperlink ref="D1004" r:id="rId1536"/>
    <hyperlink ref="E1004" r:id="rId1537"/>
    <hyperlink ref="F1004" r:id="rId1538"/>
    <hyperlink ref="E1005" r:id="rId1539"/>
    <hyperlink ref="F1005" r:id="rId1540"/>
    <hyperlink ref="F1006" r:id="rId1541"/>
    <hyperlink ref="F1007" r:id="rId1542"/>
    <hyperlink ref="C1008" r:id="rId1543"/>
    <hyperlink ref="D1008" r:id="rId1544"/>
    <hyperlink ref="E1008" r:id="rId1545"/>
    <hyperlink ref="F1008" r:id="rId1546"/>
    <hyperlink ref="F1011" r:id="rId1547"/>
    <hyperlink ref="F1012" r:id="rId1548"/>
    <hyperlink ref="F1013" r:id="rId1549"/>
    <hyperlink ref="F1014" r:id="rId1550"/>
    <hyperlink ref="C1015" r:id="rId1551"/>
    <hyperlink ref="D1015" r:id="rId1552"/>
    <hyperlink ref="D1016" r:id="rId1553"/>
    <hyperlink ref="C1017" r:id="rId1554"/>
    <hyperlink ref="E1017" r:id="rId1555"/>
    <hyperlink ref="C1018" r:id="rId1556"/>
    <hyperlink ref="D1018" r:id="rId1557"/>
    <hyperlink ref="E1018" r:id="rId1558"/>
    <hyperlink ref="C1019" r:id="rId1559"/>
    <hyperlink ref="D1019" r:id="rId1560"/>
    <hyperlink ref="C1020" r:id="rId1561"/>
    <hyperlink ref="D1020" r:id="rId1562"/>
    <hyperlink ref="C1021" r:id="rId1563"/>
    <hyperlink ref="D1021" r:id="rId1564"/>
    <hyperlink ref="C1022" r:id="rId1565"/>
    <hyperlink ref="E1022" r:id="rId1566"/>
    <hyperlink ref="F1022" r:id="rId1567"/>
    <hyperlink ref="C1023" r:id="rId1568"/>
    <hyperlink ref="D1023" r:id="rId1569"/>
    <hyperlink ref="E1024" r:id="rId1570"/>
    <hyperlink ref="C1025" r:id="rId1571"/>
    <hyperlink ref="D1025" r:id="rId1572"/>
    <hyperlink ref="E1025" r:id="rId1573"/>
    <hyperlink ref="F1025" r:id="rId1574"/>
    <hyperlink ref="G1025" r:id="rId1575"/>
    <hyperlink ref="D1026" r:id="rId1576"/>
    <hyperlink ref="E1026" r:id="rId1577"/>
    <hyperlink ref="F1026" r:id="rId1578"/>
    <hyperlink ref="C1027" r:id="rId1579"/>
    <hyperlink ref="E1027" r:id="rId1580"/>
    <hyperlink ref="C1028" r:id="rId1581"/>
    <hyperlink ref="D1028" r:id="rId1582"/>
    <hyperlink ref="E1028" r:id="rId1583"/>
    <hyperlink ref="E1029" r:id="rId1584"/>
    <hyperlink ref="E1030" r:id="rId1585"/>
    <hyperlink ref="E1031" r:id="rId1586"/>
    <hyperlink ref="E1032" r:id="rId1587"/>
    <hyperlink ref="E1033" r:id="rId1588"/>
    <hyperlink ref="E1034" r:id="rId1589"/>
    <hyperlink ref="E1035" r:id="rId1590"/>
    <hyperlink ref="E1036" r:id="rId1591"/>
    <hyperlink ref="E1037" r:id="rId1592"/>
    <hyperlink ref="E1038" r:id="rId1593"/>
    <hyperlink ref="E1039" r:id="rId1594"/>
    <hyperlink ref="E1040" r:id="rId1595"/>
    <hyperlink ref="E1041" r:id="rId1596"/>
    <hyperlink ref="F1041" r:id="rId1597"/>
    <hyperlink ref="C1042" r:id="rId1598"/>
    <hyperlink ref="D1042" r:id="rId1599"/>
    <hyperlink ref="C1043" r:id="rId1600"/>
    <hyperlink ref="D1043" r:id="rId1601"/>
    <hyperlink ref="E1043" r:id="rId1602"/>
    <hyperlink ref="C1044" r:id="rId1603"/>
    <hyperlink ref="D1044" r:id="rId1604"/>
    <hyperlink ref="F1044" r:id="rId1605"/>
    <hyperlink ref="E1045" r:id="rId1606"/>
    <hyperlink ref="F1045" r:id="rId1607"/>
    <hyperlink ref="E1046" r:id="rId1608"/>
    <hyperlink ref="F1046" r:id="rId1609"/>
    <hyperlink ref="C1047" r:id="rId1610"/>
    <hyperlink ref="D1047" r:id="rId1611"/>
    <hyperlink ref="E1047" r:id="rId1612"/>
    <hyperlink ref="F1047" r:id="rId1613"/>
    <hyperlink ref="E1048" r:id="rId1614"/>
    <hyperlink ref="F1048" r:id="rId1615"/>
    <hyperlink ref="E1049" r:id="rId1616"/>
    <hyperlink ref="E1050" r:id="rId1617"/>
    <hyperlink ref="E1051" r:id="rId1618"/>
    <hyperlink ref="E1052" r:id="rId1619"/>
    <hyperlink ref="D1053" r:id="rId1620"/>
    <hyperlink ref="C1056" r:id="rId1621"/>
    <hyperlink ref="D1056" r:id="rId1622"/>
    <hyperlink ref="E1056" r:id="rId1623"/>
    <hyperlink ref="E1057" r:id="rId1624"/>
    <hyperlink ref="C1058" r:id="rId1625"/>
    <hyperlink ref="E1058" r:id="rId1626"/>
    <hyperlink ref="F1058" r:id="rId1627"/>
    <hyperlink ref="C1059" r:id="rId1628"/>
    <hyperlink ref="D1059" r:id="rId1629"/>
    <hyperlink ref="C1060" r:id="rId1630"/>
    <hyperlink ref="E1060" r:id="rId1631"/>
    <hyperlink ref="F1060" r:id="rId1632"/>
    <hyperlink ref="C1061" r:id="rId1633"/>
    <hyperlink ref="E1061" r:id="rId1634"/>
    <hyperlink ref="E1062" r:id="rId1635"/>
    <hyperlink ref="F1062" r:id="rId1636"/>
    <hyperlink ref="D1063" r:id="rId1637"/>
    <hyperlink ref="E1064" r:id="rId1638"/>
    <hyperlink ref="E1065" r:id="rId1639"/>
    <hyperlink ref="C1066" r:id="rId1640"/>
    <hyperlink ref="D1066" r:id="rId1641"/>
    <hyperlink ref="D1067" r:id="rId1642"/>
    <hyperlink ref="E1067" r:id="rId1643"/>
    <hyperlink ref="C1068" r:id="rId1644"/>
    <hyperlink ref="D1068" r:id="rId1645"/>
    <hyperlink ref="E1068" r:id="rId1646"/>
    <hyperlink ref="E1069" r:id="rId1647"/>
    <hyperlink ref="F1069" r:id="rId1648"/>
    <hyperlink ref="C1070" r:id="rId1649"/>
    <hyperlink ref="E1070" r:id="rId1650"/>
    <hyperlink ref="F1070" r:id="rId1651"/>
    <hyperlink ref="E1071" r:id="rId1652"/>
    <hyperlink ref="C1072" r:id="rId1653"/>
    <hyperlink ref="E1072" r:id="rId1654"/>
    <hyperlink ref="C1073" r:id="rId1655"/>
    <hyperlink ref="E1074" r:id="rId1656"/>
    <hyperlink ref="E1076" r:id="rId1657"/>
    <hyperlink ref="C1077" r:id="rId1658"/>
    <hyperlink ref="E1077" r:id="rId1659"/>
    <hyperlink ref="D1078" r:id="rId1660"/>
    <hyperlink ref="C1079" r:id="rId1661"/>
    <hyperlink ref="D1079" r:id="rId1662"/>
    <hyperlink ref="F1080" r:id="rId1663"/>
    <hyperlink ref="C1081" r:id="rId1664"/>
    <hyperlink ref="E1081" r:id="rId1665"/>
    <hyperlink ref="F1081" r:id="rId1666"/>
    <hyperlink ref="F1082" r:id="rId1667"/>
    <hyperlink ref="E1083" r:id="rId1668"/>
    <hyperlink ref="F1083" r:id="rId1669"/>
    <hyperlink ref="E1084" r:id="rId1670"/>
    <hyperlink ref="F1084" r:id="rId1671"/>
    <hyperlink ref="C1085" r:id="rId1672"/>
    <hyperlink ref="D1085" r:id="rId1673"/>
    <hyperlink ref="E1085" r:id="rId1674"/>
    <hyperlink ref="C1086" r:id="rId1675"/>
    <hyperlink ref="E1086" r:id="rId1676"/>
    <hyperlink ref="F1086" r:id="rId1677"/>
    <hyperlink ref="E1087" r:id="rId1678"/>
    <hyperlink ref="F1087" r:id="rId1679"/>
    <hyperlink ref="E1088" r:id="rId1680"/>
    <hyperlink ref="F1088" r:id="rId1681"/>
    <hyperlink ref="E1089" r:id="rId1682"/>
    <hyperlink ref="F1089" r:id="rId1683"/>
    <hyperlink ref="E1091" r:id="rId1684"/>
    <hyperlink ref="F1091" r:id="rId1685"/>
    <hyperlink ref="E1092" r:id="rId1686"/>
    <hyperlink ref="F1092" r:id="rId1687"/>
    <hyperlink ref="E1093" r:id="rId1688"/>
    <hyperlink ref="E1094" r:id="rId1689"/>
    <hyperlink ref="E1095" r:id="rId1690"/>
    <hyperlink ref="F1095" r:id="rId1691"/>
    <hyperlink ref="E1096" r:id="rId1692"/>
    <hyperlink ref="C1097" r:id="rId1693"/>
    <hyperlink ref="E1097" r:id="rId1694"/>
    <hyperlink ref="E1098" r:id="rId1695"/>
    <hyperlink ref="E1099" r:id="rId1696"/>
    <hyperlink ref="E1100" r:id="rId1697"/>
    <hyperlink ref="E1101" r:id="rId1698"/>
    <hyperlink ref="E1102" r:id="rId1699"/>
    <hyperlink ref="F1102" r:id="rId1700"/>
    <hyperlink ref="C1103" r:id="rId1701"/>
    <hyperlink ref="D1103" r:id="rId1702"/>
    <hyperlink ref="C1104" r:id="rId1703"/>
    <hyperlink ref="D1104" r:id="rId1704"/>
    <hyperlink ref="E1104" r:id="rId1705"/>
    <hyperlink ref="F1104" r:id="rId1706"/>
    <hyperlink ref="C1105" r:id="rId1707"/>
    <hyperlink ref="D1105" r:id="rId1708"/>
    <hyperlink ref="E1105" r:id="rId1709"/>
    <hyperlink ref="E1106" r:id="rId1710"/>
    <hyperlink ref="F1106" r:id="rId1711"/>
    <hyperlink ref="C1107" r:id="rId1712"/>
    <hyperlink ref="D1107" r:id="rId1713"/>
    <hyperlink ref="E1107" r:id="rId1714"/>
    <hyperlink ref="F1107" r:id="rId1715"/>
    <hyperlink ref="C1108" r:id="rId1716"/>
    <hyperlink ref="F1108" r:id="rId1717"/>
    <hyperlink ref="C1109" r:id="rId1718"/>
    <hyperlink ref="D1109" r:id="rId1719"/>
    <hyperlink ref="E1109" r:id="rId1720"/>
    <hyperlink ref="E1110" r:id="rId1721"/>
    <hyperlink ref="E1111" r:id="rId1722"/>
    <hyperlink ref="E1112" r:id="rId1723"/>
    <hyperlink ref="E1113" r:id="rId1724"/>
    <hyperlink ref="C1114" r:id="rId1725"/>
    <hyperlink ref="E1114" r:id="rId1726"/>
    <hyperlink ref="F1114" r:id="rId1727"/>
    <hyperlink ref="E1115" r:id="rId1728"/>
    <hyperlink ref="C1116" r:id="rId1729"/>
    <hyperlink ref="D1116" r:id="rId1730"/>
    <hyperlink ref="E1116" r:id="rId1731"/>
    <hyperlink ref="F1116" r:id="rId1732"/>
    <hyperlink ref="E1117" r:id="rId1733"/>
    <hyperlink ref="E1118" r:id="rId1734"/>
    <hyperlink ref="E1119" r:id="rId1735"/>
    <hyperlink ref="E1120" r:id="rId1736"/>
    <hyperlink ref="E1121" r:id="rId1737"/>
    <hyperlink ref="C1122" r:id="rId1738"/>
    <hyperlink ref="E1122" r:id="rId1739"/>
    <hyperlink ref="E1123" r:id="rId1740"/>
    <hyperlink ref="E1124" r:id="rId1741"/>
    <hyperlink ref="C1125" r:id="rId1742"/>
    <hyperlink ref="D1125" r:id="rId1743"/>
    <hyperlink ref="E1125" r:id="rId1744"/>
    <hyperlink ref="C1126" r:id="rId1745"/>
    <hyperlink ref="D1126" r:id="rId1746"/>
    <hyperlink ref="E1126" r:id="rId1747"/>
    <hyperlink ref="E1127" r:id="rId1748"/>
    <hyperlink ref="E1128" r:id="rId1749"/>
    <hyperlink ref="E1129" r:id="rId1750"/>
    <hyperlink ref="E1130" r:id="rId1751"/>
    <hyperlink ref="D1131" r:id="rId1752"/>
    <hyperlink ref="E1131" r:id="rId1753"/>
    <hyperlink ref="E1132" r:id="rId1754"/>
    <hyperlink ref="F1132" r:id="rId1755"/>
    <hyperlink ref="C1133" r:id="rId1756"/>
    <hyperlink ref="E1133" r:id="rId1757"/>
    <hyperlink ref="F1134" r:id="rId1758"/>
    <hyperlink ref="C1135" r:id="rId1759"/>
    <hyperlink ref="D1135" r:id="rId1760"/>
    <hyperlink ref="E1135" r:id="rId1761"/>
    <hyperlink ref="F1135" r:id="rId1762"/>
    <hyperlink ref="E1136" r:id="rId1763"/>
    <hyperlink ref="E1137" r:id="rId1764"/>
    <hyperlink ref="E1138" r:id="rId1765"/>
    <hyperlink ref="F1138" r:id="rId1766"/>
    <hyperlink ref="E1139" r:id="rId1767"/>
    <hyperlink ref="F1139" r:id="rId1768"/>
    <hyperlink ref="E1140" r:id="rId1769"/>
    <hyperlink ref="F1140" r:id="rId1770"/>
    <hyperlink ref="E1141" r:id="rId1771"/>
    <hyperlink ref="F1141" r:id="rId1772"/>
    <hyperlink ref="E1142" r:id="rId1773"/>
    <hyperlink ref="E1143" r:id="rId1774"/>
    <hyperlink ref="C1144" r:id="rId1775"/>
    <hyperlink ref="D1144" r:id="rId1776"/>
    <hyperlink ref="C1145" r:id="rId1777"/>
    <hyperlink ref="D1145" r:id="rId1778"/>
    <hyperlink ref="E1145" r:id="rId1779"/>
    <hyperlink ref="D1146" r:id="rId1780"/>
    <hyperlink ref="D1147" r:id="rId1781"/>
    <hyperlink ref="E1147" r:id="rId1782"/>
    <hyperlink ref="F1147" r:id="rId1783"/>
    <hyperlink ref="C1148" r:id="rId1784"/>
    <hyperlink ref="D1148" r:id="rId1785"/>
    <hyperlink ref="E1148" r:id="rId1786"/>
    <hyperlink ref="F1148" r:id="rId1787"/>
    <hyperlink ref="C1149" r:id="rId1788"/>
    <hyperlink ref="D1149" r:id="rId1789"/>
    <hyperlink ref="E1149" r:id="rId1790"/>
    <hyperlink ref="F1149" r:id="rId1791"/>
    <hyperlink ref="C1150" r:id="rId1792"/>
    <hyperlink ref="D1150" r:id="rId1793"/>
    <hyperlink ref="E1150" r:id="rId1794"/>
    <hyperlink ref="F1150" r:id="rId1795"/>
    <hyperlink ref="D1151" r:id="rId1796"/>
    <hyperlink ref="E1151" r:id="rId1797"/>
    <hyperlink ref="E1152" r:id="rId1798"/>
    <hyperlink ref="F1152" r:id="rId1799"/>
    <hyperlink ref="C1153" r:id="rId1800"/>
    <hyperlink ref="D1153" r:id="rId1801"/>
    <hyperlink ref="E1154" r:id="rId1802"/>
    <hyperlink ref="E1155" r:id="rId1803"/>
    <hyperlink ref="F1155" r:id="rId1804"/>
    <hyperlink ref="C1156" r:id="rId1805"/>
    <hyperlink ref="D1156" r:id="rId1806"/>
    <hyperlink ref="D1157" r:id="rId1807"/>
    <hyperlink ref="C1158" r:id="rId1808"/>
    <hyperlink ref="E1158" r:id="rId1809"/>
    <hyperlink ref="E1159" r:id="rId1810"/>
    <hyperlink ref="F1159" r:id="rId1811"/>
    <hyperlink ref="E1160" r:id="rId1812"/>
    <hyperlink ref="C1161" r:id="rId1813"/>
    <hyperlink ref="E1161" r:id="rId1814"/>
    <hyperlink ref="F1161" r:id="rId1815"/>
    <hyperlink ref="E1162" r:id="rId1816"/>
    <hyperlink ref="C1163" r:id="rId1817"/>
    <hyperlink ref="E1163" r:id="rId1818"/>
    <hyperlink ref="F1163" r:id="rId1819"/>
    <hyperlink ref="C1164" r:id="rId1820"/>
    <hyperlink ref="D1164" r:id="rId1821"/>
    <hyperlink ref="E1164" r:id="rId1822"/>
    <hyperlink ref="E1165" r:id="rId1823"/>
    <hyperlink ref="F1165" r:id="rId1824"/>
    <hyperlink ref="E1166" r:id="rId1825"/>
    <hyperlink ref="E1167" r:id="rId1826"/>
    <hyperlink ref="E1168" r:id="rId1827"/>
    <hyperlink ref="E1169" r:id="rId1828"/>
    <hyperlink ref="E1170" r:id="rId1829"/>
    <hyperlink ref="E1171" r:id="rId1830"/>
    <hyperlink ref="E1172" r:id="rId1831"/>
    <hyperlink ref="C1173" r:id="rId1832"/>
    <hyperlink ref="E1173" r:id="rId1833"/>
    <hyperlink ref="E1174" r:id="rId1834"/>
    <hyperlink ref="E1175" r:id="rId1835"/>
    <hyperlink ref="C1176" r:id="rId1836"/>
    <hyperlink ref="E1176" r:id="rId1837"/>
    <hyperlink ref="E1177" r:id="rId1838"/>
    <hyperlink ref="F1177" r:id="rId1839"/>
    <hyperlink ref="C1178" r:id="rId1840"/>
    <hyperlink ref="D1178" r:id="rId1841"/>
    <hyperlink ref="E1179" r:id="rId1842"/>
    <hyperlink ref="F1179" r:id="rId1843"/>
    <hyperlink ref="C1180" r:id="rId1844"/>
    <hyperlink ref="E1180" r:id="rId1845"/>
    <hyperlink ref="F1180" r:id="rId1846"/>
    <hyperlink ref="E1181" r:id="rId1847"/>
    <hyperlink ref="C1182" r:id="rId1848"/>
    <hyperlink ref="D1182" r:id="rId1849"/>
    <hyperlink ref="E1182" r:id="rId1850"/>
    <hyperlink ref="F1182" r:id="rId1851"/>
    <hyperlink ref="E1183" r:id="rId1852"/>
    <hyperlink ref="C1184" r:id="rId1853"/>
    <hyperlink ref="D1184" r:id="rId1854"/>
    <hyperlink ref="E1184" r:id="rId1855"/>
    <hyperlink ref="F1184" r:id="rId1856"/>
    <hyperlink ref="C1185" r:id="rId1857"/>
    <hyperlink ref="E1185" r:id="rId1858"/>
    <hyperlink ref="C1186" r:id="rId1859"/>
    <hyperlink ref="D1186" r:id="rId1860"/>
    <hyperlink ref="E1186" r:id="rId1861"/>
    <hyperlink ref="C1187" r:id="rId1862"/>
    <hyperlink ref="E1187" r:id="rId1863"/>
    <hyperlink ref="C1188" r:id="rId1864"/>
    <hyperlink ref="E1188" r:id="rId1865"/>
    <hyperlink ref="F1188" r:id="rId1866"/>
    <hyperlink ref="C1189" r:id="rId1867"/>
    <hyperlink ref="D1189" r:id="rId1868" location="overview"/>
    <hyperlink ref="E1189" r:id="rId1869"/>
    <hyperlink ref="F1189" r:id="rId1870"/>
    <hyperlink ref="C1190" r:id="rId1871"/>
    <hyperlink ref="D1190" r:id="rId1872" location="overview"/>
    <hyperlink ref="E1190" r:id="rId1873"/>
    <hyperlink ref="F1190" r:id="rId1874"/>
    <hyperlink ref="C1191" r:id="rId1875"/>
    <hyperlink ref="D1191" r:id="rId1876" location="overview"/>
    <hyperlink ref="E1191" r:id="rId1877"/>
    <hyperlink ref="C1192" r:id="rId1878"/>
    <hyperlink ref="D1192" r:id="rId1879"/>
    <hyperlink ref="E1192" r:id="rId1880"/>
    <hyperlink ref="F1192" r:id="rId1881"/>
    <hyperlink ref="C1193" r:id="rId1882"/>
    <hyperlink ref="D1193" r:id="rId1883"/>
    <hyperlink ref="E1193" r:id="rId1884"/>
    <hyperlink ref="C1194" r:id="rId1885"/>
    <hyperlink ref="D1194" r:id="rId1886"/>
    <hyperlink ref="E1194" r:id="rId1887"/>
    <hyperlink ref="C1195" r:id="rId1888"/>
    <hyperlink ref="D1195" r:id="rId1889"/>
    <hyperlink ref="E1195" r:id="rId1890"/>
    <hyperlink ref="C1196" r:id="rId1891"/>
    <hyperlink ref="D1196" r:id="rId1892"/>
    <hyperlink ref="E1196" r:id="rId1893"/>
    <hyperlink ref="F1196" r:id="rId1894"/>
    <hyperlink ref="C1197" r:id="rId1895"/>
    <hyperlink ref="E1197" r:id="rId1896"/>
    <hyperlink ref="F1197" r:id="rId1897"/>
    <hyperlink ref="C1198" r:id="rId1898"/>
    <hyperlink ref="E1198" r:id="rId1899"/>
    <hyperlink ref="C1199" r:id="rId1900"/>
    <hyperlink ref="D1199" r:id="rId1901"/>
    <hyperlink ref="C1200" r:id="rId1902"/>
    <hyperlink ref="E1200" r:id="rId1903"/>
    <hyperlink ref="C1201" r:id="rId1904"/>
    <hyperlink ref="E1201" r:id="rId1905"/>
    <hyperlink ref="F1201" r:id="rId1906"/>
    <hyperlink ref="F1202" r:id="rId1907"/>
    <hyperlink ref="E1203" r:id="rId1908"/>
    <hyperlink ref="F1203" r:id="rId1909"/>
    <hyperlink ref="C1204" r:id="rId1910"/>
    <hyperlink ref="E1204" r:id="rId1911"/>
    <hyperlink ref="F1204" r:id="rId1912"/>
    <hyperlink ref="C1205" r:id="rId1913"/>
    <hyperlink ref="F1205" r:id="rId1914"/>
    <hyperlink ref="C1206" r:id="rId1915"/>
    <hyperlink ref="D1206" r:id="rId1916"/>
    <hyperlink ref="E1206" r:id="rId1917"/>
    <hyperlink ref="C1207" r:id="rId1918"/>
    <hyperlink ref="E1207" r:id="rId1919"/>
    <hyperlink ref="F1207" r:id="rId1920"/>
    <hyperlink ref="C1208" r:id="rId1921"/>
    <hyperlink ref="E1208" r:id="rId1922"/>
    <hyperlink ref="F1208" r:id="rId1923"/>
    <hyperlink ref="D1209" r:id="rId1924"/>
    <hyperlink ref="C1210" r:id="rId1925"/>
    <hyperlink ref="E1210" r:id="rId1926"/>
    <hyperlink ref="C1211" r:id="rId1927"/>
    <hyperlink ref="D1211" r:id="rId1928" location="overview"/>
    <hyperlink ref="E1211" r:id="rId1929"/>
    <hyperlink ref="C1212" r:id="rId1930"/>
    <hyperlink ref="D1212" r:id="rId1931"/>
    <hyperlink ref="C1213" r:id="rId1932"/>
    <hyperlink ref="F1213" r:id="rId1933"/>
    <hyperlink ref="E1214" r:id="rId1934"/>
    <hyperlink ref="F1214" r:id="rId1935"/>
    <hyperlink ref="C1215" r:id="rId1936"/>
    <hyperlink ref="D1215" r:id="rId1937"/>
    <hyperlink ref="D1216" r:id="rId1938"/>
    <hyperlink ref="C1217" r:id="rId1939"/>
    <hyperlink ref="D1217" r:id="rId1940"/>
    <hyperlink ref="C1218" r:id="rId1941"/>
    <hyperlink ref="D1218" r:id="rId1942"/>
    <hyperlink ref="C1219" r:id="rId1943"/>
    <hyperlink ref="D1219" r:id="rId1944"/>
    <hyperlink ref="D1220" r:id="rId1945"/>
    <hyperlink ref="C1221" r:id="rId1946"/>
    <hyperlink ref="D1221" r:id="rId1947"/>
    <hyperlink ref="C1222" r:id="rId1948"/>
    <hyperlink ref="D1222" r:id="rId1949"/>
    <hyperlink ref="C1223" r:id="rId1950"/>
    <hyperlink ref="D1223" r:id="rId1951"/>
    <hyperlink ref="C1224" r:id="rId1952"/>
    <hyperlink ref="D1224" r:id="rId1953"/>
    <hyperlink ref="C1225" r:id="rId1954"/>
    <hyperlink ref="C1226" r:id="rId1955"/>
    <hyperlink ref="D1226" r:id="rId1956"/>
    <hyperlink ref="C1227" r:id="rId1957"/>
    <hyperlink ref="D1227" r:id="rId1958"/>
    <hyperlink ref="C1228" r:id="rId1959"/>
    <hyperlink ref="C1229" r:id="rId1960"/>
    <hyperlink ref="C1230" r:id="rId1961"/>
    <hyperlink ref="C1231" r:id="rId1962"/>
    <hyperlink ref="D1231" r:id="rId1963"/>
    <hyperlink ref="E1232" r:id="rId1964"/>
    <hyperlink ref="F1232" r:id="rId1965"/>
    <hyperlink ref="D1233" r:id="rId1966"/>
    <hyperlink ref="F1233" r:id="rId1967"/>
    <hyperlink ref="E1234" r:id="rId1968"/>
    <hyperlink ref="E1235" r:id="rId1969"/>
    <hyperlink ref="F1235" r:id="rId1970"/>
    <hyperlink ref="C1236" r:id="rId1971"/>
    <hyperlink ref="D1236" r:id="rId1972"/>
    <hyperlink ref="E1236" r:id="rId1973"/>
    <hyperlink ref="F1236" r:id="rId1974"/>
    <hyperlink ref="D1237" r:id="rId1975"/>
    <hyperlink ref="E1237" r:id="rId1976"/>
    <hyperlink ref="F1237" r:id="rId1977"/>
    <hyperlink ref="C1238" r:id="rId1978"/>
    <hyperlink ref="E1238" r:id="rId1979"/>
    <hyperlink ref="F1238" r:id="rId1980"/>
    <hyperlink ref="C1239" r:id="rId1981"/>
    <hyperlink ref="D1239" r:id="rId1982"/>
    <hyperlink ref="E1239" r:id="rId1983"/>
    <hyperlink ref="C1240" r:id="rId1984"/>
    <hyperlink ref="D1240" r:id="rId1985"/>
    <hyperlink ref="E1240" r:id="rId1986"/>
    <hyperlink ref="C1241" r:id="rId1987"/>
    <hyperlink ref="D1241" r:id="rId1988"/>
    <hyperlink ref="E1241" r:id="rId1989"/>
    <hyperlink ref="C1242" r:id="rId1990"/>
    <hyperlink ref="D1242" r:id="rId1991"/>
    <hyperlink ref="E1242" r:id="rId1992"/>
    <hyperlink ref="C1243" r:id="rId1993"/>
    <hyperlink ref="E1243" r:id="rId1994"/>
    <hyperlink ref="C1244" r:id="rId1995"/>
    <hyperlink ref="D1244" r:id="rId1996"/>
    <hyperlink ref="E1244" r:id="rId1997"/>
    <hyperlink ref="C1245" r:id="rId1998"/>
    <hyperlink ref="D1245" r:id="rId1999"/>
    <hyperlink ref="E1245" r:id="rId2000"/>
    <hyperlink ref="F1245" r:id="rId2001"/>
    <hyperlink ref="C1246" r:id="rId2002"/>
    <hyperlink ref="E1246" r:id="rId2003"/>
    <hyperlink ref="C1247" r:id="rId2004"/>
    <hyperlink ref="D1247" r:id="rId2005"/>
    <hyperlink ref="E1248" r:id="rId2006"/>
    <hyperlink ref="F1248" r:id="rId2007"/>
    <hyperlink ref="E1249" r:id="rId2008"/>
    <hyperlink ref="F1249" r:id="rId2009"/>
    <hyperlink ref="C1250" r:id="rId2010"/>
    <hyperlink ref="E1250" r:id="rId2011"/>
    <hyperlink ref="C1251" r:id="rId2012"/>
    <hyperlink ref="D1251" r:id="rId2013"/>
    <hyperlink ref="C1252" r:id="rId2014"/>
    <hyperlink ref="E1252" r:id="rId2015"/>
    <hyperlink ref="F1252" r:id="rId2016"/>
    <hyperlink ref="C1253" r:id="rId2017"/>
    <hyperlink ref="E1253" r:id="rId2018"/>
    <hyperlink ref="F1253" r:id="rId2019"/>
    <hyperlink ref="C1255" r:id="rId2020"/>
    <hyperlink ref="E1255" r:id="rId2021"/>
    <hyperlink ref="F1256" r:id="rId2022"/>
    <hyperlink ref="E1257" r:id="rId2023"/>
    <hyperlink ref="F1257" r:id="rId2024"/>
    <hyperlink ref="C1258" r:id="rId2025"/>
    <hyperlink ref="D1258" r:id="rId2026"/>
    <hyperlink ref="C1259" r:id="rId2027"/>
    <hyperlink ref="D1259" r:id="rId2028"/>
    <hyperlink ref="C1260" r:id="rId2029"/>
    <hyperlink ref="E1260" r:id="rId2030"/>
    <hyperlink ref="D1261" r:id="rId2031"/>
    <hyperlink ref="E1262" r:id="rId2032"/>
    <hyperlink ref="C1263" r:id="rId2033"/>
    <hyperlink ref="F1263" r:id="rId2034"/>
    <hyperlink ref="E1264" r:id="rId2035"/>
    <hyperlink ref="E1265" r:id="rId2036"/>
    <hyperlink ref="C1268" r:id="rId2037"/>
    <hyperlink ref="D1268" r:id="rId2038"/>
    <hyperlink ref="F1268" r:id="rId2039"/>
    <hyperlink ref="C1269" r:id="rId2040"/>
    <hyperlink ref="D1269" r:id="rId2041"/>
    <hyperlink ref="C1270" r:id="rId2042"/>
    <hyperlink ref="D1270" r:id="rId2043"/>
    <hyperlink ref="D1271" r:id="rId2044"/>
    <hyperlink ref="D1272" r:id="rId2045"/>
    <hyperlink ref="E1273" r:id="rId2046"/>
    <hyperlink ref="E1274" r:id="rId2047"/>
    <hyperlink ref="D1275" r:id="rId2048"/>
    <hyperlink ref="C1276" r:id="rId2049"/>
    <hyperlink ref="D1278" r:id="rId2050"/>
    <hyperlink ref="D1279" r:id="rId2051"/>
    <hyperlink ref="D1280" r:id="rId2052"/>
    <hyperlink ref="D1281" r:id="rId2053"/>
    <hyperlink ref="C1282" r:id="rId2054"/>
    <hyperlink ref="D1283" r:id="rId2055"/>
    <hyperlink ref="D1286" r:id="rId2056"/>
    <hyperlink ref="D1287" r:id="rId2057"/>
    <hyperlink ref="C1288" r:id="rId2058"/>
    <hyperlink ref="D1288" r:id="rId2059"/>
    <hyperlink ref="C1289" r:id="rId2060"/>
    <hyperlink ref="E1289" r:id="rId2061"/>
    <hyperlink ref="C1290" r:id="rId2062"/>
    <hyperlink ref="D1290" r:id="rId2063"/>
    <hyperlink ref="C1291" r:id="rId2064"/>
    <hyperlink ref="E1291" r:id="rId2065"/>
    <hyperlink ref="E1292" r:id="rId2066"/>
    <hyperlink ref="E1293" r:id="rId2067"/>
    <hyperlink ref="C1294" r:id="rId2068"/>
    <hyperlink ref="D1294" r:id="rId2069"/>
    <hyperlink ref="C1295" r:id="rId2070"/>
    <hyperlink ref="D1295" r:id="rId2071"/>
    <hyperlink ref="F1296" r:id="rId2072"/>
    <hyperlink ref="C1300" r:id="rId2073"/>
    <hyperlink ref="E1301" r:id="rId2074"/>
    <hyperlink ref="E1302" r:id="rId2075"/>
    <hyperlink ref="F1303" r:id="rId2076"/>
    <hyperlink ref="E1305" r:id="rId2077"/>
    <hyperlink ref="E1307" r:id="rId2078"/>
    <hyperlink ref="E1308" r:id="rId2079"/>
    <hyperlink ref="E1311" r:id="rId2080"/>
    <hyperlink ref="E1312" r:id="rId2081"/>
    <hyperlink ref="E1313" r:id="rId2082"/>
    <hyperlink ref="E1314" r:id="rId2083"/>
    <hyperlink ref="E1315" r:id="rId2084"/>
    <hyperlink ref="E1316" r:id="rId2085"/>
    <hyperlink ref="E1317" r:id="rId2086"/>
    <hyperlink ref="E1318" r:id="rId2087"/>
    <hyperlink ref="E1319" r:id="rId2088"/>
    <hyperlink ref="C1321" r:id="rId2089"/>
    <hyperlink ref="E1322" r:id="rId2090"/>
    <hyperlink ref="E1332" r:id="rId2091"/>
    <hyperlink ref="E1334" r:id="rId2092"/>
    <hyperlink ref="E1335" r:id="rId2093"/>
    <hyperlink ref="E1336" r:id="rId2094"/>
    <hyperlink ref="E1337" r:id="rId2095"/>
    <hyperlink ref="E1338" r:id="rId2096"/>
    <hyperlink ref="C1339" r:id="rId2097"/>
    <hyperlink ref="E1339" r:id="rId2098"/>
    <hyperlink ref="C1340" r:id="rId2099"/>
    <hyperlink ref="E1340" r:id="rId2100"/>
    <hyperlink ref="E1341" r:id="rId2101"/>
    <hyperlink ref="C1342" r:id="rId2102"/>
    <hyperlink ref="E1342" r:id="rId2103"/>
    <hyperlink ref="E1343" r:id="rId2104"/>
    <hyperlink ref="E1344" r:id="rId2105"/>
    <hyperlink ref="E1345" r:id="rId2106"/>
    <hyperlink ref="E1346" r:id="rId2107"/>
    <hyperlink ref="E1347" r:id="rId2108"/>
    <hyperlink ref="C1348" r:id="rId2109"/>
    <hyperlink ref="E1348" r:id="rId2110"/>
    <hyperlink ref="E1349" r:id="rId2111"/>
    <hyperlink ref="E1355" r:id="rId2112"/>
    <hyperlink ref="E1356" r:id="rId2113"/>
    <hyperlink ref="E1357" r:id="rId2114"/>
    <hyperlink ref="E1358" r:id="rId2115"/>
    <hyperlink ref="D1360" r:id="rId2116"/>
    <hyperlink ref="F1362" r:id="rId2117"/>
    <hyperlink ref="F1363" r:id="rId2118"/>
    <hyperlink ref="F1364" r:id="rId2119"/>
    <hyperlink ref="F1365" r:id="rId2120"/>
    <hyperlink ref="F1366" r:id="rId2121"/>
    <hyperlink ref="F1367" r:id="rId2122"/>
    <hyperlink ref="F1368" r:id="rId2123"/>
    <hyperlink ref="F1369" r:id="rId2124"/>
    <hyperlink ref="E1370" r:id="rId2125"/>
    <hyperlink ref="E1371" r:id="rId2126"/>
    <hyperlink ref="E1372" r:id="rId2127"/>
    <hyperlink ref="E1373" r:id="rId2128"/>
    <hyperlink ref="E1374" r:id="rId2129"/>
    <hyperlink ref="E1375" r:id="rId2130"/>
    <hyperlink ref="E1376" r:id="rId2131"/>
    <hyperlink ref="E1377" r:id="rId2132"/>
    <hyperlink ref="E1380" r:id="rId2133"/>
    <hyperlink ref="E1381" r:id="rId2134"/>
    <hyperlink ref="F1382" r:id="rId2135"/>
    <hyperlink ref="E1385" r:id="rId2136"/>
    <hyperlink ref="C1386" r:id="rId2137"/>
    <hyperlink ref="F1388" r:id="rId2138"/>
    <hyperlink ref="C1389" r:id="rId2139"/>
    <hyperlink ref="E1389" r:id="rId2140"/>
    <hyperlink ref="C1390" r:id="rId2141"/>
    <hyperlink ref="D1390" r:id="rId2142"/>
    <hyperlink ref="E1390" r:id="rId2143"/>
    <hyperlink ref="E1391" r:id="rId2144"/>
    <hyperlink ref="E1392" r:id="rId2145"/>
    <hyperlink ref="E1393" r:id="rId2146"/>
    <hyperlink ref="E1394" r:id="rId2147"/>
    <hyperlink ref="C1395" r:id="rId2148"/>
    <hyperlink ref="E1395" r:id="rId2149"/>
    <hyperlink ref="E1396" r:id="rId2150"/>
    <hyperlink ref="E1397" r:id="rId2151"/>
    <hyperlink ref="E1398" r:id="rId2152"/>
    <hyperlink ref="C1399" r:id="rId2153"/>
    <hyperlink ref="E1399" r:id="rId2154"/>
    <hyperlink ref="C1400" r:id="rId2155"/>
    <hyperlink ref="E1400" r:id="rId2156"/>
    <hyperlink ref="E1401" r:id="rId2157"/>
    <hyperlink ref="C1404" r:id="rId2158"/>
    <hyperlink ref="E1404" r:id="rId2159"/>
    <hyperlink ref="C1405" r:id="rId2160"/>
    <hyperlink ref="E1405" r:id="rId2161"/>
    <hyperlink ref="C1406" r:id="rId2162"/>
    <hyperlink ref="E1406" r:id="rId2163"/>
    <hyperlink ref="E1407" r:id="rId2164"/>
    <hyperlink ref="E1408" r:id="rId2165"/>
    <hyperlink ref="E1409" r:id="rId2166"/>
    <hyperlink ref="E1412" r:id="rId2167"/>
    <hyperlink ref="E1413" r:id="rId2168"/>
    <hyperlink ref="C1416" r:id="rId2169"/>
    <hyperlink ref="E1416" r:id="rId2170"/>
    <hyperlink ref="E1417" r:id="rId2171"/>
    <hyperlink ref="E1418" r:id="rId2172"/>
    <hyperlink ref="E1419" r:id="rId2173"/>
    <hyperlink ref="E1420" r:id="rId2174"/>
    <hyperlink ref="E1421" r:id="rId2175"/>
    <hyperlink ref="D1422" r:id="rId2176"/>
    <hyperlink ref="C1427" r:id="rId2177"/>
    <hyperlink ref="E1427" r:id="rId2178"/>
    <hyperlink ref="C1428" r:id="rId2179"/>
    <hyperlink ref="E1428" r:id="rId2180"/>
    <hyperlink ref="E1429" r:id="rId2181"/>
    <hyperlink ref="E1433" r:id="rId2182"/>
    <hyperlink ref="E1434" r:id="rId2183"/>
    <hyperlink ref="C1436" r:id="rId2184"/>
    <hyperlink ref="C1437" r:id="rId2185"/>
    <hyperlink ref="E1438" r:id="rId2186"/>
    <hyperlink ref="C1439" r:id="rId2187"/>
    <hyperlink ref="E1439" r:id="rId2188"/>
    <hyperlink ref="C1440" r:id="rId2189"/>
    <hyperlink ref="C1447" r:id="rId2190"/>
    <hyperlink ref="E1447" r:id="rId2191"/>
    <hyperlink ref="C1450" r:id="rId2192"/>
    <hyperlink ref="E1450" r:id="rId2193"/>
    <hyperlink ref="D1451" r:id="rId2194"/>
    <hyperlink ref="E1452" r:id="rId2195"/>
    <hyperlink ref="C1453" r:id="rId2196"/>
    <hyperlink ref="D1453" r:id="rId2197"/>
    <hyperlink ref="E1454" r:id="rId2198"/>
    <hyperlink ref="E1457" r:id="rId2199"/>
    <hyperlink ref="C1458" r:id="rId2200"/>
    <hyperlink ref="E1460" r:id="rId2201"/>
    <hyperlink ref="E1461" r:id="rId2202"/>
    <hyperlink ref="C1463" r:id="rId2203"/>
    <hyperlink ref="E1463" r:id="rId2204"/>
    <hyperlink ref="E1465" r:id="rId2205"/>
    <hyperlink ref="C1466" r:id="rId2206"/>
    <hyperlink ref="E1467" r:id="rId2207"/>
    <hyperlink ref="E1468" r:id="rId2208"/>
    <hyperlink ref="C1469" r:id="rId2209"/>
    <hyperlink ref="E1469" r:id="rId2210"/>
    <hyperlink ref="C1473" r:id="rId2211"/>
    <hyperlink ref="E1473" r:id="rId2212"/>
    <hyperlink ref="E1474" r:id="rId2213"/>
    <hyperlink ref="E1475" r:id="rId2214"/>
    <hyperlink ref="E1476" r:id="rId2215"/>
    <hyperlink ref="C1477" r:id="rId2216"/>
    <hyperlink ref="E1477" r:id="rId2217"/>
    <hyperlink ref="C1478" r:id="rId2218"/>
    <hyperlink ref="E1478" r:id="rId2219"/>
    <hyperlink ref="C1479" r:id="rId2220"/>
    <hyperlink ref="E1479" r:id="rId2221"/>
    <hyperlink ref="C1488" r:id="rId2222"/>
    <hyperlink ref="E1488" r:id="rId2223"/>
    <hyperlink ref="C1489" r:id="rId2224"/>
    <hyperlink ref="E1489" r:id="rId2225"/>
    <hyperlink ref="E1490" r:id="rId2226"/>
    <hyperlink ref="F1491" r:id="rId2227"/>
    <hyperlink ref="F1492" r:id="rId2228"/>
    <hyperlink ref="F1493" r:id="rId2229"/>
    <hyperlink ref="D1500" r:id="rId2230"/>
    <hyperlink ref="C1504" r:id="rId2231"/>
    <hyperlink ref="E1504" r:id="rId2232"/>
    <hyperlink ref="D1505" r:id="rId2233"/>
    <hyperlink ref="C1507" r:id="rId2234"/>
    <hyperlink ref="E1507" r:id="rId2235"/>
    <hyperlink ref="C1508" r:id="rId2236"/>
    <hyperlink ref="E1508" r:id="rId2237"/>
    <hyperlink ref="C1509" r:id="rId2238"/>
    <hyperlink ref="E1509" r:id="rId2239"/>
    <hyperlink ref="E1512" r:id="rId2240"/>
    <hyperlink ref="C1513" r:id="rId2241"/>
    <hyperlink ref="E1513" r:id="rId2242"/>
    <hyperlink ref="F1514" r:id="rId2243"/>
    <hyperlink ref="C1515" r:id="rId2244"/>
    <hyperlink ref="E1515" r:id="rId2245"/>
    <hyperlink ref="C1516" r:id="rId2246"/>
    <hyperlink ref="E1516" r:id="rId2247"/>
    <hyperlink ref="C1517" r:id="rId2248"/>
    <hyperlink ref="E1517" r:id="rId2249"/>
    <hyperlink ref="C1518" r:id="rId2250"/>
    <hyperlink ref="E1518" r:id="rId2251"/>
    <hyperlink ref="C1519" r:id="rId2252"/>
    <hyperlink ref="E1519" r:id="rId2253"/>
    <hyperlink ref="C1520" r:id="rId2254"/>
    <hyperlink ref="E1520" r:id="rId2255"/>
    <hyperlink ref="E1521" r:id="rId2256"/>
    <hyperlink ref="C1522" r:id="rId2257"/>
    <hyperlink ref="E1522" r:id="rId2258"/>
    <hyperlink ref="C1523" r:id="rId2259"/>
    <hyperlink ref="E1523" r:id="rId2260"/>
    <hyperlink ref="F1529" r:id="rId2261"/>
    <hyperlink ref="F1530" r:id="rId2262"/>
    <hyperlink ref="F1531" r:id="rId2263"/>
    <hyperlink ref="F1534" r:id="rId2264"/>
    <hyperlink ref="F1536" r:id="rId2265"/>
    <hyperlink ref="C1548" r:id="rId2266"/>
    <hyperlink ref="C1551" r:id="rId2267"/>
    <hyperlink ref="E1551" r:id="rId2268"/>
    <hyperlink ref="C1552" r:id="rId2269"/>
    <hyperlink ref="F1552" r:id="rId2270"/>
    <hyperlink ref="C1553" r:id="rId2271"/>
    <hyperlink ref="F1553" r:id="rId2272"/>
    <hyperlink ref="C1554" r:id="rId2273"/>
    <hyperlink ref="F1554" r:id="rId2274"/>
    <hyperlink ref="C1555" r:id="rId2275"/>
    <hyperlink ref="F1555" r:id="rId2276"/>
    <hyperlink ref="C1556" r:id="rId2277"/>
    <hyperlink ref="E1557" r:id="rId2278"/>
    <hyperlink ref="F1560" r:id="rId2279"/>
    <hyperlink ref="F1561" r:id="rId2280"/>
    <hyperlink ref="F1562" r:id="rId2281"/>
    <hyperlink ref="F1563" r:id="rId2282"/>
    <hyperlink ref="C1564" r:id="rId2283"/>
    <hyperlink ref="E1564" r:id="rId2284"/>
    <hyperlink ref="E1565" r:id="rId2285"/>
    <hyperlink ref="E1566" r:id="rId2286"/>
    <hyperlink ref="E1567" r:id="rId2287"/>
    <hyperlink ref="F1568" r:id="rId2288"/>
    <hyperlink ref="F1569" r:id="rId2289"/>
    <hyperlink ref="F1570" r:id="rId2290"/>
    <hyperlink ref="F1571" r:id="rId2291"/>
    <hyperlink ref="F1572" r:id="rId2292"/>
    <hyperlink ref="C1573" r:id="rId2293"/>
    <hyperlink ref="F1574" r:id="rId2294"/>
    <hyperlink ref="E1575" r:id="rId2295"/>
    <hyperlink ref="E1577" r:id="rId2296"/>
    <hyperlink ref="C1578" r:id="rId2297"/>
    <hyperlink ref="E1579" r:id="rId2298"/>
    <hyperlink ref="E1580" r:id="rId2299"/>
    <hyperlink ref="F1581" r:id="rId2300"/>
    <hyperlink ref="F1582" r:id="rId2301"/>
    <hyperlink ref="F1583" r:id="rId2302"/>
    <hyperlink ref="F1584" r:id="rId2303"/>
    <hyperlink ref="F1585" r:id="rId2304"/>
    <hyperlink ref="F1586" r:id="rId2305"/>
    <hyperlink ref="F1587" r:id="rId2306"/>
    <hyperlink ref="F1588" r:id="rId2307"/>
    <hyperlink ref="F1590" r:id="rId2308"/>
    <hyperlink ref="F1591" r:id="rId2309"/>
    <hyperlink ref="F1592" r:id="rId2310"/>
    <hyperlink ref="F1593" r:id="rId2311"/>
    <hyperlink ref="F1594" r:id="rId2312"/>
    <hyperlink ref="F1595" r:id="rId2313"/>
    <hyperlink ref="F1596" r:id="rId2314"/>
    <hyperlink ref="E1597" r:id="rId2315"/>
    <hyperlink ref="E1598" r:id="rId2316"/>
    <hyperlink ref="C1599" r:id="rId2317"/>
    <hyperlink ref="E1599" r:id="rId2318"/>
    <hyperlink ref="C1600" r:id="rId2319"/>
    <hyperlink ref="E1600" r:id="rId2320"/>
    <hyperlink ref="C1601" r:id="rId2321"/>
    <hyperlink ref="E1601" r:id="rId2322"/>
    <hyperlink ref="C1602" r:id="rId2323"/>
    <hyperlink ref="E1602" r:id="rId2324"/>
    <hyperlink ref="C1603" r:id="rId2325"/>
    <hyperlink ref="E1607" r:id="rId2326"/>
    <hyperlink ref="C1608" r:id="rId2327"/>
    <hyperlink ref="C1609" r:id="rId2328"/>
    <hyperlink ref="C1610" r:id="rId2329"/>
    <hyperlink ref="C1611" r:id="rId2330"/>
    <hyperlink ref="C1612" r:id="rId2331"/>
    <hyperlink ref="C1613" r:id="rId2332"/>
    <hyperlink ref="C1614" r:id="rId2333"/>
    <hyperlink ref="C1615" r:id="rId2334"/>
    <hyperlink ref="E1615" r:id="rId2335"/>
    <hyperlink ref="C1616" r:id="rId2336"/>
    <hyperlink ref="E1616" r:id="rId2337"/>
    <hyperlink ref="F1617" r:id="rId2338"/>
    <hyperlink ref="C1619" r:id="rId2339"/>
    <hyperlink ref="E1619" r:id="rId2340"/>
    <hyperlink ref="C1622" r:id="rId2341"/>
    <hyperlink ref="E1622" r:id="rId2342"/>
    <hyperlink ref="C1623" r:id="rId2343"/>
    <hyperlink ref="E1623" r:id="rId2344"/>
    <hyperlink ref="C1624" r:id="rId2345"/>
    <hyperlink ref="E1624" r:id="rId2346"/>
    <hyperlink ref="C1627" r:id="rId2347"/>
    <hyperlink ref="E1627" r:id="rId2348"/>
    <hyperlink ref="C1628" r:id="rId2349"/>
    <hyperlink ref="E1628" r:id="rId2350"/>
    <hyperlink ref="C1629" r:id="rId2351"/>
    <hyperlink ref="E1629" r:id="rId2352"/>
    <hyperlink ref="C1630" r:id="rId2353"/>
    <hyperlink ref="E1630" r:id="rId2354"/>
    <hyperlink ref="E1631" r:id="rId2355"/>
    <hyperlink ref="E1632" r:id="rId2356"/>
    <hyperlink ref="E1633" r:id="rId2357"/>
    <hyperlink ref="E1634" r:id="rId2358"/>
    <hyperlink ref="C1635" r:id="rId2359"/>
    <hyperlink ref="E1635" r:id="rId2360"/>
    <hyperlink ref="C1636" r:id="rId2361"/>
    <hyperlink ref="E1636" r:id="rId2362"/>
    <hyperlink ref="C1637" r:id="rId2363"/>
    <hyperlink ref="C1638" r:id="rId2364"/>
    <hyperlink ref="C1639" r:id="rId2365"/>
    <hyperlink ref="C1640" r:id="rId2366"/>
    <hyperlink ref="C1641" r:id="rId2367"/>
    <hyperlink ref="E1641" r:id="rId2368"/>
    <hyperlink ref="C1643" r:id="rId2369"/>
    <hyperlink ref="C1644" r:id="rId2370"/>
    <hyperlink ref="E1644" r:id="rId2371"/>
    <hyperlink ref="C1645" r:id="rId2372"/>
    <hyperlink ref="C1646" r:id="rId2373"/>
    <hyperlink ref="C1647" r:id="rId2374"/>
    <hyperlink ref="C1648" r:id="rId2375"/>
    <hyperlink ref="C1649" r:id="rId2376"/>
    <hyperlink ref="C1650" r:id="rId2377"/>
    <hyperlink ref="C1651" r:id="rId2378"/>
    <hyperlink ref="C1652" r:id="rId2379"/>
    <hyperlink ref="C1653" r:id="rId2380"/>
    <hyperlink ref="C1654" r:id="rId2381"/>
    <hyperlink ref="E1654" r:id="rId2382"/>
    <hyperlink ref="E1655" r:id="rId2383"/>
    <hyperlink ref="E1656" r:id="rId2384"/>
    <hyperlink ref="E1657" r:id="rId2385"/>
    <hyperlink ref="F1658" r:id="rId2386"/>
    <hyperlink ref="C1659" r:id="rId2387"/>
    <hyperlink ref="E1659" r:id="rId2388"/>
    <hyperlink ref="E1660" r:id="rId2389"/>
    <hyperlink ref="E1661" r:id="rId2390"/>
    <hyperlink ref="E1662" r:id="rId2391"/>
    <hyperlink ref="E1663" r:id="rId2392"/>
    <hyperlink ref="E1664" r:id="rId2393"/>
    <hyperlink ref="F1665" r:id="rId2394"/>
    <hyperlink ref="F1666" r:id="rId2395"/>
    <hyperlink ref="F1667" r:id="rId2396"/>
    <hyperlink ref="D1668" r:id="rId2397"/>
    <hyperlink ref="C1669" r:id="rId2398"/>
    <hyperlink ref="D1669" r:id="rId2399"/>
    <hyperlink ref="D1670" r:id="rId2400"/>
    <hyperlink ref="E1671" r:id="rId2401"/>
    <hyperlink ref="E1672" r:id="rId2402"/>
    <hyperlink ref="E1673" r:id="rId2403"/>
    <hyperlink ref="E1674" r:id="rId2404"/>
    <hyperlink ref="E1675" r:id="rId2405"/>
    <hyperlink ref="E1676" r:id="rId2406"/>
    <hyperlink ref="E1677" r:id="rId2407"/>
    <hyperlink ref="E1678" r:id="rId2408"/>
    <hyperlink ref="E1679" r:id="rId2409"/>
    <hyperlink ref="C1680" r:id="rId2410"/>
    <hyperlink ref="E1680" r:id="rId2411"/>
    <hyperlink ref="C1681" r:id="rId2412"/>
    <hyperlink ref="E1681" r:id="rId2413"/>
    <hyperlink ref="C1682" r:id="rId2414"/>
    <hyperlink ref="E1682" r:id="rId2415"/>
    <hyperlink ref="C1683" r:id="rId2416"/>
    <hyperlink ref="E1683" r:id="rId2417"/>
    <hyperlink ref="E1684" r:id="rId2418"/>
    <hyperlink ref="E1685" r:id="rId2419"/>
    <hyperlink ref="E1686" r:id="rId2420"/>
    <hyperlink ref="E1687" r:id="rId2421"/>
    <hyperlink ref="C1688" r:id="rId2422"/>
    <hyperlink ref="E1688" r:id="rId2423"/>
    <hyperlink ref="C1689" r:id="rId2424"/>
    <hyperlink ref="E1689" r:id="rId2425"/>
    <hyperlink ref="C1690" r:id="rId2426"/>
    <hyperlink ref="E1690" r:id="rId2427"/>
    <hyperlink ref="E1691" r:id="rId2428"/>
    <hyperlink ref="C1692" r:id="rId2429"/>
    <hyperlink ref="E1692" r:id="rId2430"/>
    <hyperlink ref="F1693" r:id="rId2431"/>
    <hyperlink ref="E1694" r:id="rId2432"/>
    <hyperlink ref="E1695" r:id="rId2433"/>
    <hyperlink ref="E1696" r:id="rId2434"/>
    <hyperlink ref="E1697" r:id="rId2435"/>
    <hyperlink ref="E1698" r:id="rId2436"/>
    <hyperlink ref="C1699" r:id="rId2437"/>
    <hyperlink ref="E1699" r:id="rId2438"/>
    <hyperlink ref="F1699" r:id="rId2439"/>
    <hyperlink ref="C1700" r:id="rId2440"/>
    <hyperlink ref="D1700" r:id="rId2441" location="overview"/>
    <hyperlink ref="E1700" r:id="rId2442"/>
    <hyperlink ref="F1700" r:id="rId2443"/>
    <hyperlink ref="D1701" r:id="rId2444" location="overview"/>
    <hyperlink ref="C1702" r:id="rId2445"/>
    <hyperlink ref="D1702" r:id="rId2446" location="overview"/>
    <hyperlink ref="C1703" r:id="rId2447"/>
    <hyperlink ref="E1703" r:id="rId2448"/>
    <hyperlink ref="F1703" r:id="rId2449"/>
    <hyperlink ref="C1704" r:id="rId2450"/>
    <hyperlink ref="E1704" r:id="rId2451"/>
    <hyperlink ref="F1704" r:id="rId2452"/>
    <hyperlink ref="E1705" r:id="rId2453"/>
    <hyperlink ref="E1706" r:id="rId2454"/>
    <hyperlink ref="E1707" r:id="rId2455"/>
    <hyperlink ref="C1708" r:id="rId2456"/>
    <hyperlink ref="F1708" r:id="rId2457"/>
    <hyperlink ref="C1709" r:id="rId2458"/>
    <hyperlink ref="E1709" r:id="rId2459"/>
    <hyperlink ref="C1710" r:id="rId2460"/>
    <hyperlink ref="E1710" r:id="rId2461"/>
    <hyperlink ref="C1711" r:id="rId2462"/>
    <hyperlink ref="E1711" r:id="rId2463"/>
    <hyperlink ref="C1712" r:id="rId2464"/>
    <hyperlink ref="E1712" r:id="rId2465"/>
    <hyperlink ref="E1713" r:id="rId2466"/>
    <hyperlink ref="E1714" r:id="rId2467"/>
    <hyperlink ref="E1715" r:id="rId2468"/>
    <hyperlink ref="E1716" r:id="rId2469"/>
    <hyperlink ref="E1717" r:id="rId2470"/>
    <hyperlink ref="E1719" r:id="rId2471"/>
    <hyperlink ref="E1720" r:id="rId2472"/>
    <hyperlink ref="C1721" r:id="rId2473"/>
    <hyperlink ref="E1721" r:id="rId2474"/>
    <hyperlink ref="C1722" r:id="rId2475"/>
    <hyperlink ref="E1722" r:id="rId2476"/>
    <hyperlink ref="E1723" r:id="rId2477"/>
    <hyperlink ref="E1724" r:id="rId2478"/>
    <hyperlink ref="E1725" r:id="rId2479"/>
    <hyperlink ref="E1726" r:id="rId2480"/>
    <hyperlink ref="C1727" r:id="rId2481"/>
    <hyperlink ref="E1727" r:id="rId2482"/>
    <hyperlink ref="C1728" r:id="rId2483"/>
    <hyperlink ref="E1728" r:id="rId2484"/>
    <hyperlink ref="E1729" r:id="rId2485"/>
    <hyperlink ref="E1730" r:id="rId2486"/>
    <hyperlink ref="E1732" r:id="rId2487"/>
    <hyperlink ref="E1733" r:id="rId2488"/>
    <hyperlink ref="E1734" r:id="rId2489"/>
    <hyperlink ref="E1735" r:id="rId2490"/>
    <hyperlink ref="E1736" r:id="rId2491"/>
    <hyperlink ref="C1737" r:id="rId2492"/>
    <hyperlink ref="E1737" r:id="rId2493"/>
    <hyperlink ref="E1738" r:id="rId2494"/>
    <hyperlink ref="C1739" r:id="rId2495"/>
    <hyperlink ref="E1739" r:id="rId2496"/>
    <hyperlink ref="C1740" r:id="rId2497"/>
    <hyperlink ref="E1740" r:id="rId2498"/>
    <hyperlink ref="C1741" r:id="rId2499"/>
    <hyperlink ref="E1741" r:id="rId2500"/>
    <hyperlink ref="C1742" r:id="rId2501"/>
    <hyperlink ref="E1742" r:id="rId2502"/>
    <hyperlink ref="E1748" r:id="rId2503"/>
    <hyperlink ref="E1749" r:id="rId2504"/>
    <hyperlink ref="E1750" r:id="rId2505"/>
    <hyperlink ref="E1751" r:id="rId2506"/>
    <hyperlink ref="E1752" r:id="rId2507"/>
    <hyperlink ref="E1753" r:id="rId2508"/>
    <hyperlink ref="C1754" r:id="rId2509"/>
    <hyperlink ref="E1754" r:id="rId2510"/>
    <hyperlink ref="C1755" r:id="rId2511"/>
    <hyperlink ref="E1755" r:id="rId2512"/>
    <hyperlink ref="C1756" r:id="rId2513"/>
    <hyperlink ref="E1756" r:id="rId2514"/>
    <hyperlink ref="C1757" r:id="rId2515"/>
    <hyperlink ref="E1757" r:id="rId2516"/>
    <hyperlink ref="E1758" r:id="rId2517"/>
    <hyperlink ref="C1759" r:id="rId2518"/>
    <hyperlink ref="E1759" r:id="rId2519"/>
    <hyperlink ref="E1761" r:id="rId2520"/>
    <hyperlink ref="D1763" r:id="rId2521"/>
    <hyperlink ref="C1764" r:id="rId2522"/>
    <hyperlink ref="D1764" r:id="rId2523"/>
    <hyperlink ref="D1765" r:id="rId2524"/>
    <hyperlink ref="D1766" r:id="rId2525"/>
    <hyperlink ref="E1767" r:id="rId2526"/>
    <hyperlink ref="E1768" r:id="rId2527"/>
    <hyperlink ref="D1769" r:id="rId2528"/>
    <hyperlink ref="C1770" r:id="rId2529"/>
    <hyperlink ref="E1770" r:id="rId2530"/>
    <hyperlink ref="E1771" r:id="rId2531"/>
    <hyperlink ref="E1772" r:id="rId2532"/>
    <hyperlink ref="E1773" r:id="rId2533"/>
    <hyperlink ref="E1774" r:id="rId2534"/>
    <hyperlink ref="C1777" r:id="rId2535"/>
    <hyperlink ref="E1777" r:id="rId2536"/>
    <hyperlink ref="C1778" r:id="rId2537"/>
    <hyperlink ref="E1778" r:id="rId2538"/>
    <hyperlink ref="E1779" r:id="rId2539"/>
    <hyperlink ref="C1780" r:id="rId2540"/>
    <hyperlink ref="E1780" r:id="rId2541"/>
    <hyperlink ref="C1781" r:id="rId2542"/>
    <hyperlink ref="E1781" r:id="rId2543"/>
    <hyperlink ref="C1782" r:id="rId2544"/>
    <hyperlink ref="E1782" r:id="rId2545"/>
    <hyperlink ref="C1783" r:id="rId2546"/>
    <hyperlink ref="E1783" r:id="rId2547"/>
    <hyperlink ref="E1784" r:id="rId2548"/>
    <hyperlink ref="E1785" r:id="rId2549"/>
    <hyperlink ref="C1786" r:id="rId2550"/>
    <hyperlink ref="E1786" r:id="rId2551"/>
    <hyperlink ref="E1787" r:id="rId2552"/>
    <hyperlink ref="E1788" r:id="rId2553"/>
    <hyperlink ref="E1789" r:id="rId2554"/>
    <hyperlink ref="E1790" r:id="rId2555"/>
    <hyperlink ref="E1791" r:id="rId2556"/>
    <hyperlink ref="E1792" r:id="rId2557"/>
    <hyperlink ref="C1793" r:id="rId2558"/>
    <hyperlink ref="E1793" r:id="rId2559"/>
    <hyperlink ref="C1794" r:id="rId2560"/>
    <hyperlink ref="D1795" r:id="rId2561" location="overview"/>
    <hyperlink ref="C1796" r:id="rId2562"/>
    <hyperlink ref="D1796" r:id="rId2563" location="overview"/>
    <hyperlink ref="E1797" r:id="rId2564"/>
    <hyperlink ref="E1798" r:id="rId2565"/>
    <hyperlink ref="E1799" r:id="rId2566"/>
    <hyperlink ref="E1800" r:id="rId2567"/>
    <hyperlink ref="E1801" r:id="rId2568"/>
    <hyperlink ref="E1802" r:id="rId2569"/>
    <hyperlink ref="E1803" r:id="rId2570"/>
    <hyperlink ref="E1804" r:id="rId2571"/>
    <hyperlink ref="E1805" r:id="rId2572"/>
    <hyperlink ref="E1806" r:id="rId2573"/>
    <hyperlink ref="E1807" r:id="rId2574"/>
    <hyperlink ref="E1808" r:id="rId2575"/>
    <hyperlink ref="E1809" r:id="rId2576"/>
    <hyperlink ref="E1810" r:id="rId2577"/>
    <hyperlink ref="E1811" r:id="rId2578"/>
    <hyperlink ref="E1812" r:id="rId2579"/>
    <hyperlink ref="E1813" r:id="rId2580"/>
    <hyperlink ref="C1814" r:id="rId2581"/>
    <hyperlink ref="D1814" r:id="rId2582" location="overview"/>
    <hyperlink ref="F1815" r:id="rId2583"/>
    <hyperlink ref="F1816" r:id="rId2584"/>
    <hyperlink ref="F1817" r:id="rId2585"/>
    <hyperlink ref="C1818" r:id="rId2586"/>
    <hyperlink ref="E1818" r:id="rId2587"/>
    <hyperlink ref="C1819" r:id="rId2588"/>
    <hyperlink ref="E1819" r:id="rId2589"/>
    <hyperlink ref="C1821" r:id="rId2590"/>
    <hyperlink ref="E1821" r:id="rId2591"/>
    <hyperlink ref="C1822" r:id="rId2592"/>
    <hyperlink ref="E1822" r:id="rId2593"/>
    <hyperlink ref="C1823" r:id="rId2594"/>
    <hyperlink ref="E1823" r:id="rId2595"/>
    <hyperlink ref="E1824" r:id="rId2596"/>
    <hyperlink ref="E1825" r:id="rId2597"/>
    <hyperlink ref="E1827" r:id="rId2598"/>
    <hyperlink ref="C1829" r:id="rId2599"/>
    <hyperlink ref="F1829" r:id="rId2600"/>
    <hyperlink ref="E1831" r:id="rId2601"/>
    <hyperlink ref="E1832" r:id="rId2602"/>
    <hyperlink ref="E1833" r:id="rId2603"/>
    <hyperlink ref="E1834" r:id="rId2604"/>
    <hyperlink ref="E1835" r:id="rId2605"/>
    <hyperlink ref="F1836" r:id="rId2606"/>
    <hyperlink ref="D1838" r:id="rId2607" location="overview"/>
    <hyperlink ref="D1839" r:id="rId2608" location="overview"/>
    <hyperlink ref="D1840" r:id="rId2609" location="overview"/>
    <hyperlink ref="D1841" r:id="rId2610" location="overview"/>
    <hyperlink ref="C1842" r:id="rId2611"/>
    <hyperlink ref="E1842" r:id="rId2612"/>
    <hyperlink ref="E1843" r:id="rId2613"/>
    <hyperlink ref="D1844" r:id="rId2614" location="overview"/>
    <hyperlink ref="E1845" r:id="rId2615"/>
    <hyperlink ref="C1846" r:id="rId2616"/>
    <hyperlink ref="F1847" r:id="rId2617"/>
    <hyperlink ref="C1848" r:id="rId2618"/>
    <hyperlink ref="E1848" r:id="rId2619"/>
    <hyperlink ref="C1849" r:id="rId2620"/>
    <hyperlink ref="C1850" r:id="rId2621"/>
    <hyperlink ref="C1851" r:id="rId2622"/>
    <hyperlink ref="E1852" r:id="rId2623"/>
    <hyperlink ref="C1853" r:id="rId2624"/>
    <hyperlink ref="C1854" r:id="rId2625"/>
    <hyperlink ref="C1855" r:id="rId2626"/>
    <hyperlink ref="C1856" r:id="rId2627"/>
    <hyperlink ref="E1856" r:id="rId2628"/>
    <hyperlink ref="C1857" r:id="rId2629"/>
    <hyperlink ref="C1858" r:id="rId2630"/>
    <hyperlink ref="E1858" r:id="rId2631"/>
    <hyperlink ref="C1860" r:id="rId2632"/>
    <hyperlink ref="F1860" r:id="rId2633"/>
    <hyperlink ref="C1863" r:id="rId2634"/>
    <hyperlink ref="F1863" r:id="rId2635"/>
    <hyperlink ref="C1865" r:id="rId2636"/>
    <hyperlink ref="F1865" r:id="rId2637"/>
    <hyperlink ref="E1866" r:id="rId2638"/>
    <hyperlink ref="C1870" r:id="rId2639"/>
    <hyperlink ref="E1870" r:id="rId2640"/>
    <hyperlink ref="E1871" r:id="rId2641"/>
    <hyperlink ref="E1872" r:id="rId2642"/>
    <hyperlink ref="E1873" r:id="rId2643"/>
    <hyperlink ref="F1882" r:id="rId2644"/>
    <hyperlink ref="C1883" r:id="rId2645"/>
    <hyperlink ref="F1884" r:id="rId2646"/>
    <hyperlink ref="C1885" r:id="rId2647"/>
    <hyperlink ref="F1886" r:id="rId2648"/>
    <hyperlink ref="C1887" r:id="rId2649"/>
    <hyperlink ref="C1889" r:id="rId2650"/>
    <hyperlink ref="F1890" r:id="rId2651"/>
    <hyperlink ref="F1891" r:id="rId2652"/>
    <hyperlink ref="C1893" r:id="rId2653"/>
    <hyperlink ref="F1893" r:id="rId2654"/>
    <hyperlink ref="F1894" r:id="rId2655"/>
    <hyperlink ref="C1895" r:id="rId2656"/>
    <hyperlink ref="F1896" r:id="rId2657"/>
    <hyperlink ref="F1897" r:id="rId2658"/>
    <hyperlink ref="F1898" r:id="rId2659"/>
    <hyperlink ref="E1899" r:id="rId2660"/>
    <hyperlink ref="E1900" r:id="rId2661"/>
    <hyperlink ref="E1901" r:id="rId2662"/>
    <hyperlink ref="E1902" r:id="rId2663"/>
    <hyperlink ref="E1903" r:id="rId2664"/>
    <hyperlink ref="E1904" r:id="rId2665"/>
    <hyperlink ref="E1905" r:id="rId2666"/>
    <hyperlink ref="E1906" r:id="rId2667"/>
    <hyperlink ref="C1907" r:id="rId2668"/>
    <hyperlink ref="E1907" r:id="rId2669"/>
    <hyperlink ref="E1908" r:id="rId2670"/>
    <hyperlink ref="E1909" r:id="rId2671"/>
    <hyperlink ref="E1910" r:id="rId2672"/>
    <hyperlink ref="E1911" r:id="rId2673"/>
    <hyperlink ref="E1912" r:id="rId2674"/>
    <hyperlink ref="E1913" r:id="rId2675"/>
    <hyperlink ref="E1914" r:id="rId2676"/>
    <hyperlink ref="E1915" r:id="rId2677"/>
    <hyperlink ref="E1916" r:id="rId2678"/>
    <hyperlink ref="E1917" r:id="rId2679"/>
    <hyperlink ref="E1918" r:id="rId2680"/>
    <hyperlink ref="E1919" r:id="rId2681"/>
    <hyperlink ref="C1920" r:id="rId2682"/>
    <hyperlink ref="E1920" r:id="rId2683"/>
    <hyperlink ref="E1921" r:id="rId2684"/>
    <hyperlink ref="E1922" r:id="rId2685"/>
    <hyperlink ref="E1923" r:id="rId2686"/>
    <hyperlink ref="E1924" r:id="rId2687"/>
    <hyperlink ref="E1925" r:id="rId2688"/>
    <hyperlink ref="E1926" r:id="rId2689"/>
    <hyperlink ref="E1927" r:id="rId2690"/>
    <hyperlink ref="E1928" r:id="rId2691"/>
    <hyperlink ref="E1929" r:id="rId2692"/>
    <hyperlink ref="E1930" r:id="rId2693"/>
    <hyperlink ref="E1931" r:id="rId2694"/>
    <hyperlink ref="F1932" r:id="rId2695"/>
    <hyperlink ref="E1935" r:id="rId2696"/>
    <hyperlink ref="C1936" r:id="rId2697"/>
    <hyperlink ref="E1936" r:id="rId2698"/>
    <hyperlink ref="C1938" r:id="rId2699"/>
    <hyperlink ref="C1939" r:id="rId2700"/>
    <hyperlink ref="E1940" r:id="rId2701"/>
    <hyperlink ref="F1941" r:id="rId2702"/>
    <hyperlink ref="E1942" r:id="rId2703"/>
    <hyperlink ref="E1943" r:id="rId2704"/>
    <hyperlink ref="E1944" r:id="rId2705"/>
    <hyperlink ref="E1945" r:id="rId2706"/>
    <hyperlink ref="E1946" r:id="rId2707"/>
    <hyperlink ref="C1947" r:id="rId2708"/>
    <hyperlink ref="E1947" r:id="rId2709"/>
    <hyperlink ref="C1948" r:id="rId2710"/>
    <hyperlink ref="E1948" r:id="rId2711"/>
    <hyperlink ref="C1949" r:id="rId2712"/>
    <hyperlink ref="E1949" r:id="rId2713"/>
    <hyperlink ref="E1950" r:id="rId2714"/>
    <hyperlink ref="C1951" r:id="rId2715"/>
    <hyperlink ref="E1951" r:id="rId2716"/>
    <hyperlink ref="C1952" r:id="rId2717"/>
    <hyperlink ref="E1952" r:id="rId2718"/>
    <hyperlink ref="C1953" r:id="rId2719"/>
    <hyperlink ref="E1953" r:id="rId2720"/>
    <hyperlink ref="F1954" r:id="rId2721"/>
    <hyperlink ref="F1956" r:id="rId2722"/>
    <hyperlink ref="C1957" r:id="rId2723"/>
    <hyperlink ref="E1958" r:id="rId2724"/>
    <hyperlink ref="C1959" r:id="rId2725"/>
    <hyperlink ref="C1960" r:id="rId2726"/>
    <hyperlink ref="C1961" r:id="rId2727"/>
    <hyperlink ref="C1962" r:id="rId2728"/>
    <hyperlink ref="C1963" r:id="rId2729"/>
    <hyperlink ref="C1964" r:id="rId2730"/>
    <hyperlink ref="C1965" r:id="rId2731"/>
    <hyperlink ref="C1966" r:id="rId2732"/>
    <hyperlink ref="E1966" r:id="rId2733"/>
    <hyperlink ref="C1967" r:id="rId2734"/>
    <hyperlink ref="C1968" r:id="rId2735"/>
    <hyperlink ref="C1969" r:id="rId2736"/>
    <hyperlink ref="C1970" r:id="rId2737"/>
    <hyperlink ref="F1971" r:id="rId2738"/>
    <hyperlink ref="F1972" r:id="rId2739"/>
    <hyperlink ref="F1973" r:id="rId2740"/>
    <hyperlink ref="F1974" r:id="rId2741"/>
    <hyperlink ref="C1975" r:id="rId2742"/>
    <hyperlink ref="E1975" r:id="rId2743"/>
    <hyperlink ref="C1976" r:id="rId2744"/>
    <hyperlink ref="E1976" r:id="rId2745"/>
    <hyperlink ref="C1977" r:id="rId2746"/>
    <hyperlink ref="E1977" r:id="rId2747"/>
    <hyperlink ref="C1978" r:id="rId2748"/>
    <hyperlink ref="E1978" r:id="rId2749"/>
    <hyperlink ref="C1979" r:id="rId2750"/>
    <hyperlink ref="E1979" r:id="rId2751"/>
    <hyperlink ref="C1980" r:id="rId2752"/>
    <hyperlink ref="E1980" r:id="rId2753"/>
    <hyperlink ref="C1981" r:id="rId2754"/>
    <hyperlink ref="E1981" r:id="rId2755"/>
    <hyperlink ref="C1982" r:id="rId2756"/>
    <hyperlink ref="E1982" r:id="rId2757"/>
    <hyperlink ref="F1983" r:id="rId2758"/>
    <hyperlink ref="E1984" r:id="rId2759"/>
    <hyperlink ref="F1985" r:id="rId2760"/>
    <hyperlink ref="F1986" r:id="rId2761"/>
    <hyperlink ref="E1987" r:id="rId2762"/>
    <hyperlink ref="E1988" r:id="rId2763"/>
    <hyperlink ref="E1989" r:id="rId2764"/>
    <hyperlink ref="C1990" r:id="rId2765"/>
    <hyperlink ref="E1990" r:id="rId2766"/>
    <hyperlink ref="E1991" r:id="rId2767"/>
    <hyperlink ref="E1992" r:id="rId2768"/>
    <hyperlink ref="E1993" r:id="rId2769"/>
    <hyperlink ref="C1994" r:id="rId2770"/>
    <hyperlink ref="E1994" r:id="rId2771"/>
    <hyperlink ref="E1995" r:id="rId2772"/>
    <hyperlink ref="E1996" r:id="rId2773"/>
    <hyperlink ref="E1997" r:id="rId2774"/>
    <hyperlink ref="E1999" r:id="rId2775"/>
    <hyperlink ref="E2000" r:id="rId2776"/>
    <hyperlink ref="E2001" r:id="rId2777"/>
    <hyperlink ref="E2002" r:id="rId2778"/>
    <hyperlink ref="E2004" r:id="rId2779"/>
    <hyperlink ref="C2005" r:id="rId2780"/>
    <hyperlink ref="E2006" r:id="rId2781"/>
    <hyperlink ref="E2007" r:id="rId2782"/>
    <hyperlink ref="F2009" r:id="rId2783"/>
    <hyperlink ref="C2012" r:id="rId2784"/>
    <hyperlink ref="F2012" r:id="rId2785"/>
    <hyperlink ref="E2014" r:id="rId2786"/>
    <hyperlink ref="E2015" r:id="rId2787"/>
    <hyperlink ref="E2016" r:id="rId2788"/>
    <hyperlink ref="C2020" r:id="rId2789"/>
    <hyperlink ref="F2020" r:id="rId2790"/>
    <hyperlink ref="E2023" r:id="rId2791"/>
    <hyperlink ref="E2024" r:id="rId2792"/>
    <hyperlink ref="E2025" r:id="rId2793"/>
    <hyperlink ref="E2026" r:id="rId2794"/>
    <hyperlink ref="C2034" r:id="rId2795"/>
    <hyperlink ref="E2034" r:id="rId2796"/>
    <hyperlink ref="C2035" r:id="rId2797"/>
    <hyperlink ref="E2035" r:id="rId2798"/>
    <hyperlink ref="C2036" r:id="rId2799"/>
    <hyperlink ref="E2036" r:id="rId2800"/>
    <hyperlink ref="C2037" r:id="rId2801"/>
    <hyperlink ref="E2037" r:id="rId2802"/>
    <hyperlink ref="C2039" r:id="rId2803"/>
    <hyperlink ref="E2039" r:id="rId2804"/>
    <hyperlink ref="C2040" r:id="rId2805"/>
    <hyperlink ref="E2040" r:id="rId2806"/>
    <hyperlink ref="C2041" r:id="rId2807"/>
    <hyperlink ref="E2041" r:id="rId2808"/>
    <hyperlink ref="E2042" r:id="rId2809"/>
    <hyperlink ref="E2043" r:id="rId2810"/>
    <hyperlink ref="E2044" r:id="rId2811"/>
    <hyperlink ref="C2048" r:id="rId2812"/>
    <hyperlink ref="F2048" r:id="rId2813"/>
    <hyperlink ref="C2050" r:id="rId2814"/>
    <hyperlink ref="F2050" r:id="rId2815"/>
    <hyperlink ref="C2060" r:id="rId2816"/>
    <hyperlink ref="F2060" r:id="rId2817"/>
    <hyperlink ref="F2061" r:id="rId2818"/>
    <hyperlink ref="C2062" r:id="rId2819"/>
    <hyperlink ref="F2064" r:id="rId2820"/>
    <hyperlink ref="C2072" r:id="rId2821"/>
    <hyperlink ref="F2072" r:id="rId2822"/>
    <hyperlink ref="C2077" r:id="rId2823"/>
    <hyperlink ref="E2077" r:id="rId2824"/>
    <hyperlink ref="C2078" r:id="rId2825"/>
    <hyperlink ref="C2079" r:id="rId2826"/>
    <hyperlink ref="C2082" r:id="rId2827"/>
    <hyperlink ref="C2083" r:id="rId2828"/>
    <hyperlink ref="C2084" r:id="rId2829"/>
    <hyperlink ref="C2085" r:id="rId2830"/>
    <hyperlink ref="F2085" r:id="rId2831"/>
    <hyperlink ref="C2086" r:id="rId2832"/>
    <hyperlink ref="F2086" r:id="rId2833"/>
    <hyperlink ref="C2088" r:id="rId2834"/>
    <hyperlink ref="D2088" r:id="rId2835" location="overview"/>
    <hyperlink ref="C2090" r:id="rId2836"/>
    <hyperlink ref="C2091" r:id="rId2837"/>
    <hyperlink ref="C2093" r:id="rId2838"/>
    <hyperlink ref="C2095" r:id="rId2839"/>
    <hyperlink ref="F2095" r:id="rId2840"/>
    <hyperlink ref="F2096" r:id="rId2841"/>
    <hyperlink ref="C2097" r:id="rId2842"/>
    <hyperlink ref="D2097" r:id="rId2843" location="overview"/>
    <hyperlink ref="F2097" r:id="rId2844"/>
    <hyperlink ref="D2098" r:id="rId2845" location="overview"/>
    <hyperlink ref="C2099" r:id="rId2846"/>
    <hyperlink ref="C2100" r:id="rId2847"/>
    <hyperlink ref="C2101" r:id="rId2848"/>
    <hyperlink ref="C2102" r:id="rId2849"/>
    <hyperlink ref="C2105" r:id="rId2850"/>
    <hyperlink ref="C2106" r:id="rId2851"/>
    <hyperlink ref="F2106" r:id="rId2852"/>
    <hyperlink ref="C2107" r:id="rId2853"/>
    <hyperlink ref="F2107" r:id="rId2854"/>
    <hyperlink ref="C2108" r:id="rId2855"/>
    <hyperlink ref="C2109" r:id="rId2856"/>
    <hyperlink ref="D2109" r:id="rId2857" location="overview"/>
    <hyperlink ref="C2110" r:id="rId2858"/>
    <hyperlink ref="F2110" r:id="rId2859"/>
    <hyperlink ref="C2111" r:id="rId2860"/>
    <hyperlink ref="E2111" r:id="rId2861"/>
    <hyperlink ref="C2112" r:id="rId2862"/>
    <hyperlink ref="E2112" r:id="rId2863"/>
    <hyperlink ref="C2113" r:id="rId2864"/>
    <hyperlink ref="E2113" r:id="rId2865"/>
    <hyperlink ref="C2114" r:id="rId2866"/>
    <hyperlink ref="F2114" r:id="rId2867"/>
    <hyperlink ref="C2115" r:id="rId2868"/>
    <hyperlink ref="E2115" r:id="rId2869"/>
    <hyperlink ref="C2116" r:id="rId2870"/>
    <hyperlink ref="E2116" r:id="rId2871"/>
    <hyperlink ref="C2117" r:id="rId2872"/>
    <hyperlink ref="E2117" r:id="rId2873"/>
    <hyperlink ref="C2118" r:id="rId2874"/>
    <hyperlink ref="E2118" r:id="rId2875"/>
    <hyperlink ref="C2119" r:id="rId2876"/>
    <hyperlink ref="E2119" r:id="rId2877"/>
    <hyperlink ref="C2120" r:id="rId2878"/>
    <hyperlink ref="F2120" r:id="rId2879"/>
    <hyperlink ref="C2121" r:id="rId2880"/>
    <hyperlink ref="F2121" r:id="rId2881"/>
    <hyperlink ref="C2122" r:id="rId2882"/>
    <hyperlink ref="D2122" r:id="rId2883"/>
    <hyperlink ref="C2123" r:id="rId2884"/>
    <hyperlink ref="E2123" r:id="rId2885"/>
    <hyperlink ref="C2124" r:id="rId2886"/>
    <hyperlink ref="E2124" r:id="rId2887"/>
    <hyperlink ref="C2125" r:id="rId2888"/>
    <hyperlink ref="E2125" r:id="rId2889"/>
    <hyperlink ref="C2126" r:id="rId2890"/>
    <hyperlink ref="E2126" r:id="rId2891"/>
    <hyperlink ref="E2127" r:id="rId2892"/>
    <hyperlink ref="E2128" r:id="rId2893"/>
    <hyperlink ref="C2129" r:id="rId2894"/>
    <hyperlink ref="E2129" r:id="rId2895"/>
    <hyperlink ref="E2130" r:id="rId2896"/>
    <hyperlink ref="E2133" r:id="rId2897"/>
    <hyperlink ref="E2134" r:id="rId2898"/>
    <hyperlink ref="E2135" r:id="rId2899"/>
    <hyperlink ref="E2136" r:id="rId2900"/>
    <hyperlink ref="C2138" r:id="rId2901"/>
    <hyperlink ref="E2138" r:id="rId2902"/>
    <hyperlink ref="C2139" r:id="rId2903"/>
    <hyperlink ref="E2139" r:id="rId2904"/>
    <hyperlink ref="C2140" r:id="rId2905"/>
    <hyperlink ref="E2140" r:id="rId2906"/>
    <hyperlink ref="E2141" r:id="rId2907"/>
    <hyperlink ref="E2142" r:id="rId2908"/>
    <hyperlink ref="C2143" r:id="rId2909"/>
    <hyperlink ref="C2144" r:id="rId2910"/>
    <hyperlink ref="F2144" r:id="rId2911"/>
    <hyperlink ref="C2145" r:id="rId2912"/>
    <hyperlink ref="C2146" r:id="rId2913"/>
    <hyperlink ref="C2147" r:id="rId2914"/>
    <hyperlink ref="C2148" r:id="rId2915"/>
    <hyperlink ref="C2149" r:id="rId2916"/>
    <hyperlink ref="C2150" r:id="rId2917"/>
    <hyperlink ref="C2151" r:id="rId2918"/>
    <hyperlink ref="C2152" r:id="rId2919"/>
    <hyperlink ref="F2153" r:id="rId2920"/>
    <hyperlink ref="C2155" r:id="rId2921"/>
    <hyperlink ref="C2156" r:id="rId2922"/>
    <hyperlink ref="C2161" r:id="rId2923"/>
    <hyperlink ref="C2163" r:id="rId2924"/>
    <hyperlink ref="E2163" r:id="rId2925"/>
    <hyperlink ref="F2165" r:id="rId2926"/>
    <hyperlink ref="D2166" r:id="rId2927" location="overview"/>
    <hyperlink ref="E2166" r:id="rId2928"/>
    <hyperlink ref="C2172" r:id="rId2929"/>
    <hyperlink ref="E2172" r:id="rId2930"/>
    <hyperlink ref="E2173" r:id="rId2931"/>
    <hyperlink ref="F2176" r:id="rId2932"/>
    <hyperlink ref="F2178" r:id="rId2933"/>
    <hyperlink ref="F2179" r:id="rId2934"/>
    <hyperlink ref="F2180" r:id="rId2935"/>
    <hyperlink ref="E2184" r:id="rId2936"/>
    <hyperlink ref="C2185" r:id="rId2937"/>
    <hyperlink ref="D2185" r:id="rId2938"/>
    <hyperlink ref="E2185" r:id="rId2939"/>
    <hyperlink ref="C2188" r:id="rId2940"/>
    <hyperlink ref="E2190" r:id="rId2941"/>
    <hyperlink ref="E2191" r:id="rId2942"/>
    <hyperlink ref="C2192" r:id="rId2943"/>
    <hyperlink ref="C2194" r:id="rId2944"/>
    <hyperlink ref="C2195" r:id="rId2945"/>
    <hyperlink ref="E2196" r:id="rId2946"/>
    <hyperlink ref="E2197" r:id="rId2947"/>
    <hyperlink ref="E2198" r:id="rId2948"/>
    <hyperlink ref="E2199" r:id="rId2949"/>
    <hyperlink ref="C2201" r:id="rId2950"/>
    <hyperlink ref="F2201" r:id="rId2951"/>
    <hyperlink ref="C2208" r:id="rId2952"/>
    <hyperlink ref="E2209" r:id="rId2953"/>
    <hyperlink ref="E2210" r:id="rId2954"/>
    <hyperlink ref="F2218" r:id="rId2955"/>
    <hyperlink ref="E2219" r:id="rId2956"/>
    <hyperlink ref="E2220" r:id="rId2957"/>
    <hyperlink ref="E2221" r:id="rId2958"/>
    <hyperlink ref="F2222" r:id="rId2959"/>
    <hyperlink ref="F2223" r:id="rId2960"/>
    <hyperlink ref="C2227" r:id="rId2961"/>
    <hyperlink ref="E2227" r:id="rId2962"/>
    <hyperlink ref="F2228" r:id="rId2963"/>
    <hyperlink ref="F2229" r:id="rId2964"/>
    <hyperlink ref="F2230" r:id="rId2965"/>
    <hyperlink ref="E2236" r:id="rId2966"/>
    <hyperlink ref="F2237" r:id="rId2967"/>
    <hyperlink ref="C2238" r:id="rId2968"/>
    <hyperlink ref="F2239" r:id="rId2969"/>
    <hyperlink ref="C2240" r:id="rId2970"/>
    <hyperlink ref="C2242" r:id="rId2971"/>
    <hyperlink ref="C2243" r:id="rId2972"/>
    <hyperlink ref="E2243" r:id="rId2973"/>
    <hyperlink ref="F2245" r:id="rId2974"/>
    <hyperlink ref="F2246" r:id="rId2975"/>
    <hyperlink ref="F2247" r:id="rId2976"/>
    <hyperlink ref="F2249" r:id="rId2977"/>
    <hyperlink ref="C2250" r:id="rId2978"/>
    <hyperlink ref="C2254" r:id="rId2979"/>
    <hyperlink ref="F2255" r:id="rId2980"/>
    <hyperlink ref="F2256" r:id="rId2981"/>
    <hyperlink ref="F2257" r:id="rId2982"/>
    <hyperlink ref="F2258" r:id="rId2983"/>
    <hyperlink ref="C2259" r:id="rId2984"/>
    <hyperlink ref="C2260" r:id="rId2985"/>
    <hyperlink ref="E2261" r:id="rId2986"/>
    <hyperlink ref="C2262" r:id="rId2987"/>
    <hyperlink ref="C2263" r:id="rId2988"/>
    <hyperlink ref="C2264" r:id="rId2989"/>
    <hyperlink ref="D2264" r:id="rId2990" location="overview"/>
    <hyperlink ref="C2265" r:id="rId2991"/>
    <hyperlink ref="E2266" r:id="rId2992"/>
    <hyperlink ref="E2267" r:id="rId2993"/>
    <hyperlink ref="C2268" r:id="rId2994"/>
    <hyperlink ref="E2268" r:id="rId2995"/>
    <hyperlink ref="E2269" r:id="rId2996"/>
    <hyperlink ref="E2270" r:id="rId2997"/>
    <hyperlink ref="F2270" r:id="rId2998"/>
    <hyperlink ref="C2271" r:id="rId2999"/>
    <hyperlink ref="C2272" r:id="rId3000"/>
    <hyperlink ref="C2274" r:id="rId3001"/>
    <hyperlink ref="D2274" r:id="rId3002" location="overview"/>
    <hyperlink ref="C2275" r:id="rId3003"/>
    <hyperlink ref="E2276" r:id="rId3004"/>
    <hyperlink ref="F2276" r:id="rId3005"/>
    <hyperlink ref="C2277" r:id="rId3006"/>
    <hyperlink ref="E2277" r:id="rId3007"/>
    <hyperlink ref="C2278" r:id="rId3008"/>
    <hyperlink ref="D2278" r:id="rId3009" location="overview"/>
    <hyperlink ref="C2279" r:id="rId3010"/>
    <hyperlink ref="C2280" r:id="rId3011"/>
    <hyperlink ref="C2281" r:id="rId3012"/>
    <hyperlink ref="C2282" r:id="rId3013"/>
    <hyperlink ref="D2282" r:id="rId3014"/>
    <hyperlink ref="F2283" r:id="rId3015"/>
    <hyperlink ref="C2284" r:id="rId3016"/>
    <hyperlink ref="E2285" r:id="rId3017"/>
    <hyperlink ref="F2287" r:id="rId3018"/>
    <hyperlink ref="D2289" r:id="rId3019" location="overview"/>
    <hyperlink ref="C2293" r:id="rId3020"/>
    <hyperlink ref="C2312" r:id="rId3021"/>
    <hyperlink ref="C2315" r:id="rId3022"/>
    <hyperlink ref="C2316" r:id="rId3023"/>
    <hyperlink ref="F2316" r:id="rId3024"/>
    <hyperlink ref="C2317" r:id="rId3025"/>
    <hyperlink ref="C2318" r:id="rId3026"/>
    <hyperlink ref="C2319" r:id="rId3027"/>
    <hyperlink ref="C2320" r:id="rId3028"/>
    <hyperlink ref="C2321" r:id="rId3029"/>
    <hyperlink ref="E2324" r:id="rId3030"/>
    <hyperlink ref="E2325" r:id="rId3031"/>
    <hyperlink ref="E2326" r:id="rId3032"/>
    <hyperlink ref="C2327" r:id="rId3033"/>
    <hyperlink ref="F2327" r:id="rId3034"/>
    <hyperlink ref="C2328" r:id="rId3035"/>
    <hyperlink ref="F2328" r:id="rId3036"/>
    <hyperlink ref="C2329" r:id="rId3037"/>
    <hyperlink ref="F2329" r:id="rId3038"/>
    <hyperlink ref="E2331" r:id="rId3039"/>
    <hyperlink ref="E2332" r:id="rId3040"/>
    <hyperlink ref="E2333" r:id="rId3041"/>
    <hyperlink ref="E2334" r:id="rId3042"/>
    <hyperlink ref="C2336" r:id="rId3043"/>
    <hyperlink ref="E2336" r:id="rId3044"/>
    <hyperlink ref="C2340" r:id="rId3045"/>
    <hyperlink ref="C2341" r:id="rId3046"/>
    <hyperlink ref="E2341" r:id="rId3047"/>
    <hyperlink ref="C2344" r:id="rId3048"/>
    <hyperlink ref="C2346" r:id="rId3049"/>
    <hyperlink ref="C2347" r:id="rId3050"/>
    <hyperlink ref="E2348" r:id="rId3051"/>
    <hyperlink ref="E2349" r:id="rId3052"/>
    <hyperlink ref="E2350" r:id="rId3053"/>
    <hyperlink ref="C2351" r:id="rId3054"/>
    <hyperlink ref="E2351" r:id="rId3055"/>
    <hyperlink ref="C2352" r:id="rId3056"/>
    <hyperlink ref="C2355" r:id="rId3057"/>
    <hyperlink ref="E2355" r:id="rId3058"/>
    <hyperlink ref="C2356" r:id="rId3059"/>
    <hyperlink ref="E2356" r:id="rId3060"/>
    <hyperlink ref="C2357" r:id="rId3061"/>
    <hyperlink ref="E2357" r:id="rId3062"/>
    <hyperlink ref="E2358" r:id="rId3063"/>
    <hyperlink ref="E2359" r:id="rId3064"/>
    <hyperlink ref="E2360" r:id="rId3065"/>
    <hyperlink ref="E2361" r:id="rId3066"/>
    <hyperlink ref="F2362" r:id="rId3067"/>
    <hyperlink ref="F2363" r:id="rId3068"/>
    <hyperlink ref="F2364" r:id="rId3069"/>
    <hyperlink ref="F2365" r:id="rId3070"/>
    <hyperlink ref="F2366" r:id="rId3071"/>
    <hyperlink ref="C2367" r:id="rId3072"/>
    <hyperlink ref="F2374" r:id="rId3073"/>
    <hyperlink ref="F2375" r:id="rId3074"/>
    <hyperlink ref="C2376" r:id="rId3075"/>
    <hyperlink ref="F2376" r:id="rId3076"/>
    <hyperlink ref="F2378" r:id="rId3077"/>
    <hyperlink ref="C2380" r:id="rId3078"/>
    <hyperlink ref="E2380" r:id="rId3079"/>
    <hyperlink ref="C2383" r:id="rId3080"/>
    <hyperlink ref="F2387" r:id="rId3081"/>
    <hyperlink ref="F2389" r:id="rId3082"/>
    <hyperlink ref="F2393" r:id="rId3083"/>
    <hyperlink ref="C2394" r:id="rId3084"/>
    <hyperlink ref="F2394" r:id="rId3085"/>
    <hyperlink ref="F2395" r:id="rId3086"/>
    <hyperlink ref="C2398" r:id="rId3087"/>
    <hyperlink ref="F2398" r:id="rId3088"/>
    <hyperlink ref="C2401" r:id="rId3089"/>
    <hyperlink ref="C2405" r:id="rId3090"/>
    <hyperlink ref="E2405" r:id="rId3091"/>
    <hyperlink ref="E2406" r:id="rId3092"/>
    <hyperlink ref="F2406" r:id="rId3093"/>
    <hyperlink ref="C2407" r:id="rId3094"/>
    <hyperlink ref="E2407" r:id="rId3095"/>
    <hyperlink ref="F2407" r:id="rId3096"/>
    <hyperlink ref="C2408" r:id="rId3097"/>
    <hyperlink ref="E2408" r:id="rId3098"/>
    <hyperlink ref="F2408" r:id="rId3099"/>
    <hyperlink ref="C2409" r:id="rId3100"/>
    <hyperlink ref="E2409" r:id="rId3101"/>
    <hyperlink ref="F2409" r:id="rId3102"/>
    <hyperlink ref="C2410" r:id="rId3103"/>
    <hyperlink ref="E2410" r:id="rId3104"/>
    <hyperlink ref="F2410" r:id="rId3105"/>
    <hyperlink ref="C2411" r:id="rId3106"/>
    <hyperlink ref="E2411" r:id="rId3107"/>
    <hyperlink ref="F2411" r:id="rId3108"/>
    <hyperlink ref="C2412" r:id="rId3109"/>
    <hyperlink ref="E2412" r:id="rId3110"/>
    <hyperlink ref="F2412" r:id="rId3111"/>
    <hyperlink ref="C2413" r:id="rId3112"/>
    <hyperlink ref="F2413" r:id="rId3113"/>
    <hyperlink ref="C2414" r:id="rId3114"/>
    <hyperlink ref="E2414" r:id="rId3115"/>
    <hyperlink ref="F2414" r:id="rId3116"/>
    <hyperlink ref="C2415" r:id="rId3117"/>
    <hyperlink ref="F2415" r:id="rId3118"/>
    <hyperlink ref="C2416" r:id="rId3119"/>
    <hyperlink ref="E2416" r:id="rId3120"/>
    <hyperlink ref="F2416" r:id="rId3121"/>
    <hyperlink ref="C2417" r:id="rId3122"/>
    <hyperlink ref="F2417" r:id="rId3123"/>
    <hyperlink ref="C2418" r:id="rId3124"/>
    <hyperlink ref="F2418" r:id="rId3125"/>
    <hyperlink ref="C2419" r:id="rId3126"/>
    <hyperlink ref="C2423" r:id="rId3127"/>
    <hyperlink ref="E2423" r:id="rId3128"/>
    <hyperlink ref="C2424" r:id="rId3129"/>
    <hyperlink ref="D2424" r:id="rId3130" location="overview"/>
    <hyperlink ref="C2425" r:id="rId3131"/>
    <hyperlink ref="E2425" r:id="rId3132"/>
    <hyperlink ref="D2426" r:id="rId3133" location="overview"/>
    <hyperlink ref="C2427" r:id="rId3134"/>
    <hyperlink ref="D2427" r:id="rId3135" location="overview"/>
    <hyperlink ref="D2428" r:id="rId3136" location="overview"/>
    <hyperlink ref="D2429" r:id="rId3137" location="overview"/>
    <hyperlink ref="D2430" r:id="rId3138" location="overview"/>
    <hyperlink ref="D2431" r:id="rId3139" location="overview"/>
    <hyperlink ref="D2432" r:id="rId3140" location="overview"/>
    <hyperlink ref="D2433" r:id="rId3141" location="overview"/>
    <hyperlink ref="D2434" r:id="rId3142" location="overview"/>
    <hyperlink ref="E2434" r:id="rId3143"/>
    <hyperlink ref="C2435" r:id="rId3144"/>
    <hyperlink ref="D2435" r:id="rId3145"/>
    <hyperlink ref="E2435" r:id="rId3146"/>
    <hyperlink ref="D2437" r:id="rId3147" location="overview"/>
    <hyperlink ref="E2437" r:id="rId3148"/>
    <hyperlink ref="D2438" r:id="rId3149" location="overview"/>
    <hyperlink ref="E2438" r:id="rId3150"/>
    <hyperlink ref="D2439" r:id="rId3151" location="overview"/>
    <hyperlink ref="E2439" r:id="rId3152"/>
    <hyperlink ref="D2440" r:id="rId3153" location="overview"/>
    <hyperlink ref="E2440" r:id="rId3154"/>
    <hyperlink ref="C2441" r:id="rId3155"/>
    <hyperlink ref="D2441" r:id="rId3156" location="overview"/>
    <hyperlink ref="E2441" r:id="rId3157"/>
    <hyperlink ref="D2442" r:id="rId3158" location="overview"/>
    <hyperlink ref="E2442" r:id="rId3159"/>
    <hyperlink ref="E2443" r:id="rId3160"/>
    <hyperlink ref="D2444" r:id="rId3161" location="overview"/>
    <hyperlink ref="E2444" r:id="rId3162"/>
    <hyperlink ref="E2445" r:id="rId3163"/>
    <hyperlink ref="E2446" r:id="rId3164"/>
    <hyperlink ref="E2447" r:id="rId3165"/>
    <hyperlink ref="C2448" r:id="rId3166"/>
    <hyperlink ref="E2448" r:id="rId3167"/>
    <hyperlink ref="E2449" r:id="rId3168"/>
    <hyperlink ref="E2450" r:id="rId3169"/>
    <hyperlink ref="E2451" r:id="rId3170"/>
    <hyperlink ref="D2452" r:id="rId3171" location="overview"/>
    <hyperlink ref="E2452" r:id="rId3172"/>
    <hyperlink ref="E2453" r:id="rId3173"/>
    <hyperlink ref="E2454" r:id="rId3174"/>
    <hyperlink ref="E2455" r:id="rId3175"/>
    <hyperlink ref="E2456" r:id="rId3176"/>
    <hyperlink ref="E2458" r:id="rId3177"/>
    <hyperlink ref="C2459" r:id="rId3178"/>
    <hyperlink ref="D2459" r:id="rId3179"/>
    <hyperlink ref="C2460" r:id="rId3180"/>
    <hyperlink ref="D2460" r:id="rId3181"/>
    <hyperlink ref="C2461" r:id="rId3182"/>
    <hyperlink ref="D2461" r:id="rId3183"/>
    <hyperlink ref="C2462" r:id="rId3184"/>
    <hyperlink ref="D2462" r:id="rId3185"/>
    <hyperlink ref="C2463" r:id="rId3186"/>
    <hyperlink ref="D2463" r:id="rId3187"/>
    <hyperlink ref="C2464" r:id="rId3188"/>
    <hyperlink ref="D2464" r:id="rId3189"/>
    <hyperlink ref="C2465" r:id="rId3190"/>
    <hyperlink ref="D2465" r:id="rId3191"/>
    <hyperlink ref="C2466" r:id="rId3192"/>
    <hyperlink ref="D2466" r:id="rId3193"/>
    <hyperlink ref="C2467" r:id="rId3194"/>
    <hyperlink ref="D2467" r:id="rId3195"/>
    <hyperlink ref="D2468" r:id="rId3196"/>
    <hyperlink ref="C2469" r:id="rId3197"/>
    <hyperlink ref="D2469" r:id="rId3198"/>
    <hyperlink ref="F2472" r:id="rId3199"/>
    <hyperlink ref="C2473" r:id="rId3200"/>
    <hyperlink ref="F2480" r:id="rId3201"/>
    <hyperlink ref="C2481" r:id="rId3202"/>
    <hyperlink ref="C2494" r:id="rId3203"/>
    <hyperlink ref="C2495" r:id="rId3204"/>
    <hyperlink ref="C2496" r:id="rId3205"/>
    <hyperlink ref="F2497" r:id="rId3206"/>
    <hyperlink ref="C2500" r:id="rId3207"/>
    <hyperlink ref="C2501" r:id="rId3208"/>
    <hyperlink ref="E2501" r:id="rId3209"/>
    <hyperlink ref="C2504" r:id="rId3210"/>
    <hyperlink ref="F2504" r:id="rId3211"/>
    <hyperlink ref="C2507" r:id="rId3212"/>
    <hyperlink ref="C2508" r:id="rId3213"/>
    <hyperlink ref="C2509" r:id="rId3214"/>
    <hyperlink ref="F2510" r:id="rId3215"/>
    <hyperlink ref="F2511" r:id="rId3216"/>
    <hyperlink ref="F2512" r:id="rId3217"/>
    <hyperlink ref="F2513" r:id="rId3218"/>
    <hyperlink ref="C2514" r:id="rId3219"/>
    <hyperlink ref="E2515" r:id="rId3220"/>
    <hyperlink ref="C2516" r:id="rId3221"/>
    <hyperlink ref="D2516" r:id="rId3222"/>
    <hyperlink ref="E2517" r:id="rId3223"/>
    <hyperlink ref="C2518" r:id="rId3224"/>
    <hyperlink ref="F2518" r:id="rId3225"/>
    <hyperlink ref="C2519" r:id="rId3226"/>
    <hyperlink ref="F2519" r:id="rId3227"/>
    <hyperlink ref="C2520" r:id="rId3228"/>
    <hyperlink ref="F2520" r:id="rId3229"/>
    <hyperlink ref="C2521" r:id="rId3230"/>
    <hyperlink ref="F2521" r:id="rId3231"/>
    <hyperlink ref="C2522" r:id="rId3232"/>
    <hyperlink ref="F2522" r:id="rId3233"/>
    <hyperlink ref="C2523" r:id="rId3234"/>
    <hyperlink ref="F2523" r:id="rId3235"/>
    <hyperlink ref="C2524" r:id="rId3236"/>
    <hyperlink ref="F2524" r:id="rId3237"/>
    <hyperlink ref="C2525" r:id="rId3238"/>
    <hyperlink ref="F2525" r:id="rId3239"/>
    <hyperlink ref="C2526" r:id="rId3240"/>
    <hyperlink ref="F2526" r:id="rId3241"/>
    <hyperlink ref="C2527" r:id="rId3242"/>
    <hyperlink ref="F2527" r:id="rId3243"/>
    <hyperlink ref="C2528" r:id="rId3244"/>
    <hyperlink ref="F2528" r:id="rId3245"/>
    <hyperlink ref="C2529" r:id="rId3246"/>
    <hyperlink ref="F2529" r:id="rId3247"/>
    <hyperlink ref="C2530" r:id="rId3248"/>
    <hyperlink ref="F2530" r:id="rId3249"/>
    <hyperlink ref="C2535" r:id="rId3250"/>
    <hyperlink ref="E2535" r:id="rId3251"/>
    <hyperlink ref="C2536" r:id="rId3252"/>
    <hyperlink ref="F2536" r:id="rId3253"/>
    <hyperlink ref="C2539" r:id="rId3254"/>
    <hyperlink ref="E2539" r:id="rId3255"/>
    <hyperlink ref="E2540" r:id="rId3256"/>
    <hyperlink ref="F2540" r:id="rId3257"/>
    <hyperlink ref="C2541" r:id="rId3258"/>
    <hyperlink ref="E2541" r:id="rId3259"/>
    <hyperlink ref="E2542" r:id="rId3260"/>
    <hyperlink ref="D2543" r:id="rId3261"/>
    <hyperlink ref="C2544" r:id="rId3262"/>
    <hyperlink ref="D2544" r:id="rId3263"/>
    <hyperlink ref="D2545" r:id="rId3264"/>
    <hyperlink ref="D2546" r:id="rId3265"/>
    <hyperlink ref="G2547" r:id="rId3266" location="579804"/>
    <hyperlink ref="G2548" r:id="rId3267" location="579800%7C579805"/>
    <hyperlink ref="G2549" r:id="rId3268" location="579799"/>
    <hyperlink ref="G2550" r:id="rId3269" location="579803"/>
    <hyperlink ref="G2551" r:id="rId3270" location="579802"/>
    <hyperlink ref="G2552" r:id="rId3271" location="579801"/>
    <hyperlink ref="C2554" r:id="rId3272"/>
    <hyperlink ref="C2555" r:id="rId3273"/>
    <hyperlink ref="C2556" r:id="rId3274"/>
    <hyperlink ref="F2556" r:id="rId3275"/>
    <hyperlink ref="C2557" r:id="rId3276"/>
    <hyperlink ref="F2557" r:id="rId3277"/>
    <hyperlink ref="C2558" r:id="rId3278"/>
    <hyperlink ref="F2558" r:id="rId3279"/>
    <hyperlink ref="C2559" r:id="rId3280"/>
    <hyperlink ref="F2559" r:id="rId3281"/>
    <hyperlink ref="C2560" r:id="rId3282"/>
    <hyperlink ref="F2560" r:id="rId3283"/>
    <hyperlink ref="C2561" r:id="rId3284"/>
    <hyperlink ref="F2561" r:id="rId3285"/>
    <hyperlink ref="C2562" r:id="rId3286"/>
    <hyperlink ref="F2562" r:id="rId3287"/>
    <hyperlink ref="C2563" r:id="rId3288"/>
    <hyperlink ref="F2563" r:id="rId3289"/>
    <hyperlink ref="C2564" r:id="rId3290"/>
    <hyperlink ref="F2564" r:id="rId3291"/>
    <hyperlink ref="C2565" r:id="rId3292"/>
    <hyperlink ref="E2565" r:id="rId3293"/>
    <hyperlink ref="F2565" r:id="rId3294"/>
    <hyperlink ref="C2566" r:id="rId3295"/>
    <hyperlink ref="E2566" r:id="rId3296"/>
    <hyperlink ref="F2566" r:id="rId3297"/>
    <hyperlink ref="C2567" r:id="rId3298"/>
    <hyperlink ref="F2567" r:id="rId3299"/>
    <hyperlink ref="E2568" r:id="rId3300"/>
    <hyperlink ref="C2569" r:id="rId3301"/>
    <hyperlink ref="F2569" r:id="rId3302"/>
    <hyperlink ref="C2570" r:id="rId3303"/>
    <hyperlink ref="F2570" r:id="rId3304"/>
    <hyperlink ref="C2571" r:id="rId3305"/>
    <hyperlink ref="F2571" r:id="rId3306"/>
    <hyperlink ref="C2572" r:id="rId3307"/>
    <hyperlink ref="D2572" r:id="rId3308"/>
    <hyperlink ref="F2572" r:id="rId3309"/>
    <hyperlink ref="C2573" r:id="rId3310"/>
    <hyperlink ref="F2573" r:id="rId3311"/>
    <hyperlink ref="C2574" r:id="rId3312"/>
    <hyperlink ref="F2574" r:id="rId3313"/>
    <hyperlink ref="C2575" r:id="rId3314"/>
    <hyperlink ref="F2575" r:id="rId3315"/>
    <hyperlink ref="C2576" r:id="rId3316"/>
    <hyperlink ref="D2577" r:id="rId3317"/>
    <hyperlink ref="E2577" r:id="rId3318"/>
    <hyperlink ref="F2577" r:id="rId3319"/>
    <hyperlink ref="C2578" r:id="rId3320"/>
    <hyperlink ref="E2578" r:id="rId3321"/>
    <hyperlink ref="D2580" r:id="rId3322"/>
    <hyperlink ref="F2580" r:id="rId3323"/>
    <hyperlink ref="C2583" r:id="rId3324"/>
    <hyperlink ref="E2583" r:id="rId3325"/>
    <hyperlink ref="C2584" r:id="rId3326"/>
    <hyperlink ref="F2584" r:id="rId3327"/>
    <hyperlink ref="C2585" r:id="rId3328"/>
    <hyperlink ref="D2585" r:id="rId3329"/>
    <hyperlink ref="E2585" r:id="rId3330"/>
    <hyperlink ref="F2585" r:id="rId3331"/>
    <hyperlink ref="C2586" r:id="rId3332"/>
    <hyperlink ref="D2586" r:id="rId3333"/>
    <hyperlink ref="E2586" r:id="rId3334"/>
    <hyperlink ref="F2586" r:id="rId3335"/>
    <hyperlink ref="C2587" r:id="rId3336"/>
    <hyperlink ref="D2587" r:id="rId3337"/>
    <hyperlink ref="E2587" r:id="rId3338"/>
    <hyperlink ref="F2587" r:id="rId3339"/>
    <hyperlink ref="C2588" r:id="rId3340"/>
    <hyperlink ref="D2588" r:id="rId3341"/>
    <hyperlink ref="E2588" r:id="rId3342"/>
    <hyperlink ref="F2588" r:id="rId3343"/>
    <hyperlink ref="C2589" r:id="rId3344"/>
    <hyperlink ref="F2589" r:id="rId3345"/>
    <hyperlink ref="C2591" r:id="rId3346"/>
    <hyperlink ref="E2591" r:id="rId3347"/>
    <hyperlink ref="F2591" r:id="rId3348"/>
    <hyperlink ref="C2592" r:id="rId3349"/>
    <hyperlink ref="E2592" r:id="rId3350"/>
    <hyperlink ref="F2592" r:id="rId3351"/>
    <hyperlink ref="C2593" r:id="rId3352"/>
    <hyperlink ref="E2593" r:id="rId3353"/>
    <hyperlink ref="C2594" r:id="rId3354"/>
    <hyperlink ref="E2594" r:id="rId3355"/>
    <hyperlink ref="F2594" r:id="rId3356"/>
    <hyperlink ref="E2595" r:id="rId3357"/>
    <hyperlink ref="E2596" r:id="rId3358"/>
    <hyperlink ref="F2596" r:id="rId3359"/>
    <hyperlink ref="E2597" r:id="rId3360"/>
    <hyperlink ref="F2597" r:id="rId3361"/>
    <hyperlink ref="C2598" r:id="rId3362"/>
    <hyperlink ref="D2598" r:id="rId3363"/>
    <hyperlink ref="C2599" r:id="rId3364"/>
    <hyperlink ref="D2599" r:id="rId3365"/>
    <hyperlink ref="D2610" r:id="rId3366"/>
    <hyperlink ref="C2611" r:id="rId3367"/>
    <hyperlink ref="D2611" r:id="rId3368"/>
    <hyperlink ref="E2611" r:id="rId3369"/>
    <hyperlink ref="C2612" r:id="rId3370"/>
    <hyperlink ref="F2612" r:id="rId3371"/>
    <hyperlink ref="C2613" r:id="rId3372"/>
    <hyperlink ref="F2613" r:id="rId3373"/>
    <hyperlink ref="C2614" r:id="rId3374"/>
    <hyperlink ref="C2615" r:id="rId3375"/>
    <hyperlink ref="E2615" r:id="rId3376"/>
    <hyperlink ref="F2616" r:id="rId3377"/>
    <hyperlink ref="C2617" r:id="rId3378"/>
    <hyperlink ref="C2618" r:id="rId3379"/>
    <hyperlink ref="C2619" r:id="rId3380"/>
    <hyperlink ref="F2619" r:id="rId3381"/>
    <hyperlink ref="C2620" r:id="rId3382"/>
    <hyperlink ref="D2620" r:id="rId3383"/>
    <hyperlink ref="E2621" r:id="rId3384"/>
    <hyperlink ref="F2621" r:id="rId3385"/>
    <hyperlink ref="E2622" r:id="rId3386"/>
    <hyperlink ref="C2623" r:id="rId3387"/>
  </hyperlinks>
  <pageMargins left="0.7" right="0.7" top="0.75" bottom="0.75" header="0.3" footer="0.3"/>
  <legacyDrawing r:id="rId338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Weikai Zhang</cp:lastModifiedBy>
  <dcterms:modified xsi:type="dcterms:W3CDTF">2024-01-23T23:19:06Z</dcterms:modified>
</cp:coreProperties>
</file>